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66925"/>
  <mc:AlternateContent xmlns:mc="http://schemas.openxmlformats.org/markup-compatibility/2006">
    <mc:Choice Requires="x15">
      <x15ac:absPath xmlns:x15ac="http://schemas.microsoft.com/office/spreadsheetml/2010/11/ac" url="C:\Users\herme\Documents\AGN\2024\"/>
    </mc:Choice>
  </mc:AlternateContent>
  <xr:revisionPtr revIDLastSave="0" documentId="8_{72B8B8B9-AC25-46C4-904C-DD869749C60D}" xr6:coauthVersionLast="47" xr6:coauthVersionMax="47" xr10:uidLastSave="{00000000-0000-0000-0000-000000000000}"/>
  <bookViews>
    <workbookView xWindow="-108" yWindow="-108" windowWidth="23256" windowHeight="12456" firstSheet="2" activeTab="2" xr2:uid="{00000000-000D-0000-FFFF-FFFF00000000}"/>
  </bookViews>
  <sheets>
    <sheet name="INSTRUCTIVO" sheetId="13" r:id="rId1"/>
    <sheet name="DATOS" sheetId="19" state="hidden" r:id="rId2"/>
    <sheet name="PROGRAMACIÓN 2024 INVERSIÓN" sheetId="17" r:id="rId3"/>
    <sheet name="PROGRAMACIÓN 2024 FUNCIONAMIENT" sheetId="20" r:id="rId4"/>
    <sheet name="REPROGRAMACIÓN PPTAL" sheetId="1" state="hidden" r:id="rId5"/>
    <sheet name="REPROGRAMACIÓN CONTRACTUAL" sheetId="8" state="hidden" r:id="rId6"/>
  </sheets>
  <externalReferences>
    <externalReference r:id="rId7"/>
    <externalReference r:id="rId8"/>
    <externalReference r:id="rId9"/>
    <externalReference r:id="rId10"/>
    <externalReference r:id="rId11"/>
  </externalReferences>
  <definedNames>
    <definedName name="_3302002">#REF!</definedName>
    <definedName name="_3302002_">#REF!</definedName>
    <definedName name="_3302076">#REF!</definedName>
    <definedName name="_xlnm._FilterDatabase" localSheetId="3" hidden="1">'PROGRAMACIÓN 2024 FUNCIONAMIENT'!$A$1:$AR$32</definedName>
    <definedName name="_xlnm._FilterDatabase" localSheetId="2" hidden="1">'PROGRAMACIÓN 2024 INVERSIÓN'!$A$1:$AO$238</definedName>
    <definedName name="_xlnm._FilterDatabase" localSheetId="4" hidden="1">'REPROGRAMACIÓN PPTAL'!$B$7:$O$7</definedName>
    <definedName name="A_02">DATOS!$I$36</definedName>
    <definedName name="C_3302_1603_10_0_3302046">DATOS!$I$16:$I$17</definedName>
    <definedName name="C_3302_1603_10_0_3302075">DATOS!$I$18:$I$19</definedName>
    <definedName name="C_3302_1603_11_0_3302074">DATOS!$I$23:$I$24</definedName>
    <definedName name="C_3302_1603_11_0_3302077">DATOS!$I$20:$I$22</definedName>
    <definedName name="C_3302_1603_12_20302B_3302001">DATOS!$I$11:$I$12</definedName>
    <definedName name="C_3302_1603_12_20302B_3302002">DATOS!$I$13:$I$14</definedName>
    <definedName name="C_3302_1603_12_20302B_3302047">DATOS!$I$15:$I$16</definedName>
    <definedName name="C_3302_1603_12_20302B_3302071">DATOS!$I$17:$I$18</definedName>
    <definedName name="C_3302_1603_12_20302B_3302075">DATOS!$I$19:$I$20</definedName>
    <definedName name="C_3302_1603_12_20302B_3302076">DATOS!$I$21:$I$22</definedName>
    <definedName name="C_3302_1603_12_20302B_3302077">DATOS!$I$23:$I$26</definedName>
    <definedName name="C_3302_1603_7_0_3302071">DATOS!$I$32:$I$35</definedName>
    <definedName name="C_3302_1603_8_0_3302002">DATOS!#REF!</definedName>
    <definedName name="C_3302_1603_8_0_3302076">DATOS!#REF!</definedName>
    <definedName name="C_3302_1603_9_0_3302002">#REF!</definedName>
    <definedName name="C_3302_1603_9_0_3302002_">DATOS!#REF!</definedName>
    <definedName name="C_3302_1603_9_0_3302047">DATOS!$I$14:$I$15</definedName>
    <definedName name="C_3302_1603_9_0_3302064">DATOS!$I$11:$I$13</definedName>
    <definedName name="C_3399_1603_6_20302D_3399016">DATOS!$I$9:$I$10</definedName>
    <definedName name="C_3399_1603_6_20302D_3399056">DATOS!$I$3:$I$5</definedName>
    <definedName name="C_3399_1603_6_20302D_3399062">DATOS!$I$6:$I$8</definedName>
    <definedName name="C3302002">#REF!</definedName>
    <definedName name="C3302002_">#REF!</definedName>
    <definedName name="C33020020">#REF!</definedName>
    <definedName name="C3302047">#REF!</definedName>
    <definedName name="C3302064">#REF!</definedName>
    <definedName name="C3302076">#REF!</definedName>
    <definedName name="estavigencias" localSheetId="0">#REF!</definedName>
    <definedName name="estavigencias">#REF!</definedName>
    <definedName name="fuentes" localSheetId="0">#REF!</definedName>
    <definedName name="fuentes">#REF!</definedName>
    <definedName name="mes" localSheetId="0">#REF!</definedName>
    <definedName name="mes">#REF!</definedName>
    <definedName name="modal" localSheetId="0">#REF!</definedName>
    <definedName name="modal">#REF!</definedName>
    <definedName name="PROD1">#REF!</definedName>
    <definedName name="PROD10">#REF!</definedName>
    <definedName name="PROD11">#REF!</definedName>
    <definedName name="PROD12">#REF!</definedName>
    <definedName name="PROD13">#REF!</definedName>
    <definedName name="PROD14">#REF!</definedName>
    <definedName name="PROD2">#REF!</definedName>
    <definedName name="PROD3">#REF!</definedName>
    <definedName name="PROD4">#REF!</definedName>
    <definedName name="PROD5">#REF!</definedName>
    <definedName name="PROD6">#REF!</definedName>
    <definedName name="PROD7">#REF!</definedName>
    <definedName name="PROD8">#REF!</definedName>
    <definedName name="PROD9">#REF!</definedName>
    <definedName name="PROY01">#REF!</definedName>
    <definedName name="PROY02">#REF!</definedName>
    <definedName name="PROY03">#REF!</definedName>
    <definedName name="PROY04">#REF!</definedName>
    <definedName name="PROY05">#REF!</definedName>
    <definedName name="PROY06">#REF!</definedName>
    <definedName name="PROY07">#REF!</definedName>
    <definedName name="PROY1">DATOS!$G$3:$G$5</definedName>
    <definedName name="PROY2">DATOS!$G$6:$G$12</definedName>
    <definedName name="Proyectos_">'[1]Proyectos nuevos'!$L$3:$L$8</definedName>
    <definedName name="PROYECTOS_INV" localSheetId="0">#REF!</definedName>
    <definedName name="PROYECTOS_INV">#REF!</definedName>
    <definedName name="rubros" localSheetId="0">#REF!</definedName>
    <definedName name="rubros">#REF!</definedName>
    <definedName name="serequieren" localSheetId="0">#REF!</definedName>
    <definedName name="serequieren">#REF!</definedName>
    <definedName name="_xlnm.Print_Titles" localSheetId="2">'PROGRAMACIÓN 2024 INVERSIÓN'!$1:$1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20" l="1"/>
  <c r="P26" i="20" l="1"/>
  <c r="AF168" i="17" l="1"/>
  <c r="AE168" i="17"/>
  <c r="Z168" i="17"/>
  <c r="S168" i="17"/>
  <c r="N168" i="17"/>
  <c r="AH168" i="17" s="1"/>
  <c r="AG168" i="17" s="1"/>
  <c r="G168" i="17"/>
  <c r="E168" i="17"/>
  <c r="P149" i="17"/>
  <c r="L168" i="17" l="1"/>
  <c r="P27" i="20" l="1"/>
  <c r="P16" i="20" l="1"/>
  <c r="O177" i="17" l="1"/>
  <c r="AE176" i="17" l="1"/>
  <c r="Z176" i="17"/>
  <c r="S176" i="17"/>
  <c r="AF176" i="17"/>
  <c r="N176" i="17"/>
  <c r="AH176" i="17" s="1"/>
  <c r="AG176" i="17" s="1"/>
  <c r="G176" i="17"/>
  <c r="E176" i="17"/>
  <c r="Q173" i="17"/>
  <c r="L176" i="17" l="1"/>
  <c r="R153" i="17"/>
  <c r="Q153" i="17"/>
  <c r="T168" i="17" l="1"/>
  <c r="T176" i="17"/>
  <c r="U168" i="17"/>
  <c r="R177" i="17"/>
  <c r="U176" i="17"/>
  <c r="AF36" i="17"/>
  <c r="AE36" i="17"/>
  <c r="Z36" i="17"/>
  <c r="U36" i="17"/>
  <c r="N36" i="17"/>
  <c r="AH36" i="17" s="1"/>
  <c r="AG36" i="17" s="1"/>
  <c r="G36" i="17"/>
  <c r="E36" i="17"/>
  <c r="AF35" i="17"/>
  <c r="AE35" i="17"/>
  <c r="Z35" i="17"/>
  <c r="U35" i="17"/>
  <c r="N35" i="17"/>
  <c r="AH35" i="17" s="1"/>
  <c r="AG35" i="17" s="1"/>
  <c r="G35" i="17"/>
  <c r="E35" i="17"/>
  <c r="Q31" i="17"/>
  <c r="AE25" i="17"/>
  <c r="Z25" i="17"/>
  <c r="U25" i="17"/>
  <c r="S25" i="17"/>
  <c r="AF25" i="17"/>
  <c r="N25" i="17"/>
  <c r="AH25" i="17" s="1"/>
  <c r="AG25" i="17" s="1"/>
  <c r="G25" i="17"/>
  <c r="E25" i="17"/>
  <c r="P24" i="17"/>
  <c r="S35" i="17" s="1"/>
  <c r="Q23" i="17"/>
  <c r="S36" i="17" l="1"/>
  <c r="L36" i="17"/>
  <c r="L35" i="17"/>
  <c r="L25" i="17"/>
  <c r="P43" i="17"/>
  <c r="P177" i="17" s="1"/>
  <c r="P61" i="17"/>
  <c r="AF12" i="17" l="1"/>
  <c r="AE12" i="17"/>
  <c r="Z12" i="17"/>
  <c r="U12" i="17"/>
  <c r="S12" i="17"/>
  <c r="N12" i="17"/>
  <c r="G12" i="17"/>
  <c r="E12" i="17"/>
  <c r="AH12" i="17" l="1"/>
  <c r="AG12" i="17" s="1"/>
  <c r="L12" i="17"/>
  <c r="Q5" i="17"/>
  <c r="Q177" i="17" l="1"/>
  <c r="T36" i="17"/>
  <c r="T25" i="17"/>
  <c r="T35" i="17"/>
  <c r="T12" i="17"/>
  <c r="AF144" i="17"/>
  <c r="AE144" i="17"/>
  <c r="Z144" i="17"/>
  <c r="U144" i="17"/>
  <c r="T144" i="17"/>
  <c r="S144" i="17"/>
  <c r="N144" i="17"/>
  <c r="G144" i="17"/>
  <c r="E144" i="17"/>
  <c r="AH144" i="17" l="1"/>
  <c r="AG144" i="17" s="1"/>
  <c r="L144" i="17"/>
  <c r="AF175" i="17"/>
  <c r="AE175" i="17"/>
  <c r="AF174" i="17"/>
  <c r="AE174" i="17"/>
  <c r="Z175" i="17"/>
  <c r="Z174" i="17"/>
  <c r="U175" i="17" l="1"/>
  <c r="T175" i="17"/>
  <c r="S175" i="17"/>
  <c r="U174" i="17"/>
  <c r="T174" i="17"/>
  <c r="S174" i="17"/>
  <c r="U173" i="17"/>
  <c r="T173" i="17"/>
  <c r="S173" i="17"/>
  <c r="N175" i="17" l="1"/>
  <c r="G175" i="17"/>
  <c r="G174" i="17"/>
  <c r="E175" i="17"/>
  <c r="E174" i="17"/>
  <c r="L175" i="17" l="1"/>
  <c r="AH175" i="17"/>
  <c r="AG175" i="17" s="1"/>
  <c r="AF173" i="17"/>
  <c r="AF172" i="17"/>
  <c r="AF171" i="17"/>
  <c r="AF170" i="17"/>
  <c r="AF169" i="17"/>
  <c r="Z173" i="17"/>
  <c r="Z172" i="17"/>
  <c r="Z171" i="17"/>
  <c r="Z170" i="17"/>
  <c r="Z169" i="17"/>
  <c r="U172" i="17"/>
  <c r="T172" i="17"/>
  <c r="S172" i="17"/>
  <c r="U171" i="17"/>
  <c r="T171" i="17"/>
  <c r="S171" i="17"/>
  <c r="U170" i="17"/>
  <c r="T170" i="17"/>
  <c r="S170" i="17"/>
  <c r="U169" i="17"/>
  <c r="T169" i="17"/>
  <c r="S169" i="17"/>
  <c r="N173" i="17"/>
  <c r="N172" i="17"/>
  <c r="AH172" i="17" s="1"/>
  <c r="AG172" i="17" s="1"/>
  <c r="N171" i="17"/>
  <c r="N170" i="17"/>
  <c r="N169" i="17"/>
  <c r="V176" i="17" s="1"/>
  <c r="L172" i="17"/>
  <c r="AF167" i="17"/>
  <c r="AF166" i="17"/>
  <c r="AF165" i="17"/>
  <c r="AF164" i="17"/>
  <c r="AF163" i="17"/>
  <c r="AF162" i="17"/>
  <c r="AF161" i="17"/>
  <c r="AF160" i="17"/>
  <c r="AF159" i="17"/>
  <c r="AF158" i="17"/>
  <c r="AF157" i="17"/>
  <c r="AF156" i="17"/>
  <c r="AF155" i="17"/>
  <c r="AF154" i="17"/>
  <c r="AF153" i="17"/>
  <c r="AF152" i="17"/>
  <c r="AF151" i="17"/>
  <c r="AF150" i="17"/>
  <c r="AF149" i="17"/>
  <c r="AF148" i="17"/>
  <c r="AF147" i="17"/>
  <c r="AF146" i="17"/>
  <c r="AF145" i="17"/>
  <c r="Z167" i="17"/>
  <c r="Z166" i="17"/>
  <c r="Z165" i="17"/>
  <c r="Z164" i="17"/>
  <c r="Z163" i="17"/>
  <c r="Z162" i="17"/>
  <c r="Z161" i="17"/>
  <c r="Z160" i="17"/>
  <c r="Z159" i="17"/>
  <c r="Z158" i="17"/>
  <c r="Z157" i="17"/>
  <c r="Z156" i="17"/>
  <c r="Z155" i="17"/>
  <c r="Z154" i="17"/>
  <c r="Z153" i="17"/>
  <c r="Z152" i="17"/>
  <c r="Z151" i="17"/>
  <c r="Z150" i="17"/>
  <c r="Z149" i="17"/>
  <c r="Z148" i="17"/>
  <c r="Z147" i="17"/>
  <c r="Z146" i="17"/>
  <c r="Z145" i="17"/>
  <c r="U167" i="17"/>
  <c r="T167" i="17"/>
  <c r="S167" i="17"/>
  <c r="U166" i="17"/>
  <c r="T166" i="17"/>
  <c r="S166" i="17"/>
  <c r="U165" i="17"/>
  <c r="T165" i="17"/>
  <c r="S165" i="17"/>
  <c r="U164" i="17"/>
  <c r="T164" i="17"/>
  <c r="S164" i="17"/>
  <c r="U163" i="17"/>
  <c r="T163" i="17"/>
  <c r="S163" i="17"/>
  <c r="U162" i="17"/>
  <c r="T162" i="17"/>
  <c r="S162" i="17"/>
  <c r="U161" i="17"/>
  <c r="T161" i="17"/>
  <c r="S161" i="17"/>
  <c r="U160" i="17"/>
  <c r="T160" i="17"/>
  <c r="S160" i="17"/>
  <c r="U159" i="17"/>
  <c r="T159" i="17"/>
  <c r="S159" i="17"/>
  <c r="U158" i="17"/>
  <c r="T158" i="17"/>
  <c r="S158" i="17"/>
  <c r="U157" i="17"/>
  <c r="T157" i="17"/>
  <c r="S157" i="17"/>
  <c r="U156" i="17"/>
  <c r="T156" i="17"/>
  <c r="S156" i="17"/>
  <c r="U155" i="17"/>
  <c r="T155" i="17"/>
  <c r="S155" i="17"/>
  <c r="U154" i="17"/>
  <c r="T154" i="17"/>
  <c r="S154" i="17"/>
  <c r="U153" i="17"/>
  <c r="T153" i="17"/>
  <c r="S153" i="17"/>
  <c r="U152" i="17"/>
  <c r="T152" i="17"/>
  <c r="S152" i="17"/>
  <c r="U151" i="17"/>
  <c r="T151" i="17"/>
  <c r="S151" i="17"/>
  <c r="U150" i="17"/>
  <c r="T150" i="17"/>
  <c r="S150" i="17"/>
  <c r="U149" i="17"/>
  <c r="T149" i="17"/>
  <c r="S149" i="17"/>
  <c r="U148" i="17"/>
  <c r="T148" i="17"/>
  <c r="S148" i="17"/>
  <c r="U147" i="17"/>
  <c r="T147" i="17"/>
  <c r="S147" i="17"/>
  <c r="U146" i="17"/>
  <c r="T146" i="17"/>
  <c r="S146" i="17"/>
  <c r="U145" i="17"/>
  <c r="T145" i="17"/>
  <c r="S145" i="17"/>
  <c r="N152" i="17"/>
  <c r="L152" i="17" s="1"/>
  <c r="N153" i="17"/>
  <c r="L153" i="17" s="1"/>
  <c r="N167" i="17"/>
  <c r="AH167" i="17" s="1"/>
  <c r="AG167" i="17" s="1"/>
  <c r="N166" i="17"/>
  <c r="L166" i="17" s="1"/>
  <c r="N165" i="17"/>
  <c r="L165" i="17" s="1"/>
  <c r="N164" i="17"/>
  <c r="L164" i="17" s="1"/>
  <c r="N163" i="17"/>
  <c r="AH163" i="17" s="1"/>
  <c r="AG163" i="17" s="1"/>
  <c r="N162" i="17"/>
  <c r="L162" i="17" s="1"/>
  <c r="N161" i="17"/>
  <c r="L161" i="17" s="1"/>
  <c r="N160" i="17"/>
  <c r="L160" i="17" s="1"/>
  <c r="N159" i="17"/>
  <c r="L159" i="17" s="1"/>
  <c r="N158" i="17"/>
  <c r="L158" i="17" s="1"/>
  <c r="N157" i="17"/>
  <c r="L157" i="17" s="1"/>
  <c r="N156" i="17"/>
  <c r="L156" i="17" s="1"/>
  <c r="N155" i="17"/>
  <c r="AH155" i="17" s="1"/>
  <c r="AG155" i="17" s="1"/>
  <c r="N154" i="17"/>
  <c r="L154" i="17" s="1"/>
  <c r="N151" i="17"/>
  <c r="AH151" i="17" s="1"/>
  <c r="AG151" i="17" s="1"/>
  <c r="N150" i="17"/>
  <c r="L150" i="17" s="1"/>
  <c r="N149" i="17"/>
  <c r="L149" i="17" s="1"/>
  <c r="N148" i="17"/>
  <c r="L148" i="17" s="1"/>
  <c r="N147" i="17"/>
  <c r="AH147" i="17" s="1"/>
  <c r="AG147" i="17" s="1"/>
  <c r="N146" i="17"/>
  <c r="L146" i="17" s="1"/>
  <c r="N145" i="17"/>
  <c r="G167" i="17"/>
  <c r="E167" i="17"/>
  <c r="G166" i="17"/>
  <c r="E166" i="17"/>
  <c r="G165" i="17"/>
  <c r="E165" i="17"/>
  <c r="G164" i="17"/>
  <c r="E164" i="17"/>
  <c r="G163" i="17"/>
  <c r="E163" i="17"/>
  <c r="G162" i="17"/>
  <c r="E162" i="17"/>
  <c r="G161" i="17"/>
  <c r="E161" i="17"/>
  <c r="G160" i="17"/>
  <c r="E160" i="17"/>
  <c r="G159" i="17"/>
  <c r="E159" i="17"/>
  <c r="G158" i="17"/>
  <c r="E158" i="17"/>
  <c r="G157" i="17"/>
  <c r="E157" i="17"/>
  <c r="G156" i="17"/>
  <c r="E156" i="17"/>
  <c r="G155" i="17"/>
  <c r="E155" i="17"/>
  <c r="G154" i="17"/>
  <c r="E154" i="17"/>
  <c r="G153" i="17"/>
  <c r="E153" i="17"/>
  <c r="G152" i="17"/>
  <c r="E152" i="17"/>
  <c r="G151" i="17"/>
  <c r="E151" i="17"/>
  <c r="G150" i="17"/>
  <c r="E150" i="17"/>
  <c r="G149" i="17"/>
  <c r="E149" i="17"/>
  <c r="G148" i="17"/>
  <c r="E148" i="17"/>
  <c r="G147" i="17"/>
  <c r="E147" i="17"/>
  <c r="G146" i="17"/>
  <c r="E146" i="17"/>
  <c r="L145" i="17" l="1"/>
  <c r="V168" i="17"/>
  <c r="L171" i="17"/>
  <c r="L169" i="17"/>
  <c r="V173" i="17"/>
  <c r="AH170" i="17"/>
  <c r="AG170" i="17" s="1"/>
  <c r="L173" i="17"/>
  <c r="L147" i="17"/>
  <c r="L155" i="17"/>
  <c r="L170" i="17"/>
  <c r="AH169" i="17"/>
  <c r="AG169" i="17" s="1"/>
  <c r="L163" i="17"/>
  <c r="V146" i="17"/>
  <c r="V149" i="17"/>
  <c r="V153" i="17"/>
  <c r="V154" i="17"/>
  <c r="V155" i="17"/>
  <c r="V156" i="17"/>
  <c r="V157" i="17"/>
  <c r="V158" i="17"/>
  <c r="V159" i="17"/>
  <c r="V160" i="17"/>
  <c r="V161" i="17"/>
  <c r="V162" i="17"/>
  <c r="V163" i="17"/>
  <c r="V164" i="17"/>
  <c r="V165" i="17"/>
  <c r="V166" i="17"/>
  <c r="V167" i="17"/>
  <c r="AH150" i="17"/>
  <c r="AG150" i="17" s="1"/>
  <c r="AH153" i="17"/>
  <c r="AG153" i="17" s="1"/>
  <c r="AH160" i="17"/>
  <c r="AG160" i="17" s="1"/>
  <c r="AH162" i="17"/>
  <c r="AG162" i="17" s="1"/>
  <c r="AH165" i="17"/>
  <c r="AG165" i="17" s="1"/>
  <c r="V145" i="17"/>
  <c r="V147" i="17"/>
  <c r="V148" i="17"/>
  <c r="V150" i="17"/>
  <c r="V151" i="17"/>
  <c r="V152" i="17"/>
  <c r="L151" i="17"/>
  <c r="L167" i="17"/>
  <c r="AH146" i="17"/>
  <c r="AG146" i="17" s="1"/>
  <c r="AH149" i="17"/>
  <c r="AG149" i="17" s="1"/>
  <c r="AH156" i="17"/>
  <c r="AG156" i="17" s="1"/>
  <c r="AH159" i="17"/>
  <c r="AG159" i="17" s="1"/>
  <c r="V169" i="17"/>
  <c r="V170" i="17"/>
  <c r="V171" i="17"/>
  <c r="V172" i="17"/>
  <c r="AH171" i="17"/>
  <c r="AG171" i="17" s="1"/>
  <c r="AH145" i="17"/>
  <c r="AG145" i="17" s="1"/>
  <c r="AH152" i="17"/>
  <c r="AG152" i="17" s="1"/>
  <c r="AH158" i="17"/>
  <c r="AG158" i="17" s="1"/>
  <c r="AH161" i="17"/>
  <c r="AG161" i="17" s="1"/>
  <c r="AH164" i="17"/>
  <c r="AG164" i="17" s="1"/>
  <c r="AH173" i="17"/>
  <c r="AG173" i="17" s="1"/>
  <c r="AH148" i="17"/>
  <c r="AG148" i="17" s="1"/>
  <c r="AH154" i="17"/>
  <c r="AG154" i="17" s="1"/>
  <c r="AH157" i="17"/>
  <c r="AG157" i="17" s="1"/>
  <c r="AH166" i="17"/>
  <c r="AG166" i="17" s="1"/>
  <c r="AF143" i="17" l="1"/>
  <c r="AF142" i="17"/>
  <c r="AF141" i="17"/>
  <c r="AF140" i="17"/>
  <c r="AF139" i="17"/>
  <c r="AF138" i="17"/>
  <c r="AF137" i="17"/>
  <c r="AF136" i="17"/>
  <c r="AF135" i="17"/>
  <c r="AF134" i="17"/>
  <c r="AF133" i="17"/>
  <c r="AF132" i="17"/>
  <c r="AF131" i="17"/>
  <c r="AF130" i="17"/>
  <c r="AF129" i="17"/>
  <c r="AF128" i="17"/>
  <c r="AF127" i="17"/>
  <c r="AF126" i="17"/>
  <c r="AF125" i="17"/>
  <c r="AF124" i="17"/>
  <c r="AF123" i="17"/>
  <c r="AF122" i="17"/>
  <c r="Z143" i="17"/>
  <c r="Z142" i="17"/>
  <c r="Z141" i="17"/>
  <c r="Z140" i="17"/>
  <c r="Z139" i="17"/>
  <c r="Z138" i="17"/>
  <c r="Z137" i="17"/>
  <c r="Z136" i="17"/>
  <c r="Z135" i="17"/>
  <c r="Z134" i="17"/>
  <c r="Z133" i="17"/>
  <c r="Z132" i="17"/>
  <c r="Z131" i="17"/>
  <c r="Z130" i="17"/>
  <c r="Z129" i="17"/>
  <c r="Z128" i="17"/>
  <c r="Z127" i="17"/>
  <c r="Z126" i="17"/>
  <c r="Z125" i="17"/>
  <c r="Z124" i="17"/>
  <c r="Z123" i="17"/>
  <c r="Z122" i="17"/>
  <c r="U143" i="17"/>
  <c r="T143" i="17"/>
  <c r="S143" i="17"/>
  <c r="U142" i="17"/>
  <c r="T142" i="17"/>
  <c r="S142" i="17"/>
  <c r="U141" i="17"/>
  <c r="T141" i="17"/>
  <c r="S141" i="17"/>
  <c r="U140" i="17"/>
  <c r="T140" i="17"/>
  <c r="S140" i="17"/>
  <c r="U139" i="17"/>
  <c r="T139" i="17"/>
  <c r="S139" i="17"/>
  <c r="U138" i="17"/>
  <c r="T138" i="17"/>
  <c r="S138" i="17"/>
  <c r="U137" i="17"/>
  <c r="T137" i="17"/>
  <c r="S137" i="17"/>
  <c r="U136" i="17"/>
  <c r="T136" i="17"/>
  <c r="S136" i="17"/>
  <c r="U135" i="17"/>
  <c r="T135" i="17"/>
  <c r="S135" i="17"/>
  <c r="U134" i="17"/>
  <c r="T134" i="17"/>
  <c r="S134" i="17"/>
  <c r="U133" i="17"/>
  <c r="T133" i="17"/>
  <c r="S133" i="17"/>
  <c r="U132" i="17"/>
  <c r="T132" i="17"/>
  <c r="S132" i="17"/>
  <c r="U131" i="17"/>
  <c r="T131" i="17"/>
  <c r="S131" i="17"/>
  <c r="U130" i="17"/>
  <c r="T130" i="17"/>
  <c r="S130" i="17"/>
  <c r="U129" i="17"/>
  <c r="T129" i="17"/>
  <c r="S129" i="17"/>
  <c r="U128" i="17"/>
  <c r="T128" i="17"/>
  <c r="S128" i="17"/>
  <c r="U127" i="17"/>
  <c r="T127" i="17"/>
  <c r="S127" i="17"/>
  <c r="U126" i="17"/>
  <c r="T126" i="17"/>
  <c r="S126" i="17"/>
  <c r="U125" i="17"/>
  <c r="T125" i="17"/>
  <c r="S125" i="17"/>
  <c r="U124" i="17"/>
  <c r="T124" i="17"/>
  <c r="S124" i="17"/>
  <c r="U123" i="17"/>
  <c r="T123" i="17"/>
  <c r="S123" i="17"/>
  <c r="U122" i="17"/>
  <c r="T122" i="17"/>
  <c r="S122" i="17"/>
  <c r="N143" i="17"/>
  <c r="L143" i="17" s="1"/>
  <c r="N142" i="17"/>
  <c r="L142" i="17" s="1"/>
  <c r="N127" i="17"/>
  <c r="L127" i="17" s="1"/>
  <c r="G143" i="17"/>
  <c r="E143" i="17"/>
  <c r="G142" i="17"/>
  <c r="E142" i="17"/>
  <c r="G141" i="17"/>
  <c r="E141" i="17"/>
  <c r="G140" i="17"/>
  <c r="E140" i="17"/>
  <c r="G139" i="17"/>
  <c r="E139" i="17"/>
  <c r="G138" i="17"/>
  <c r="E138" i="17"/>
  <c r="G137" i="17"/>
  <c r="E137" i="17"/>
  <c r="G136" i="17"/>
  <c r="E136" i="17"/>
  <c r="G135" i="17"/>
  <c r="E135" i="17"/>
  <c r="G134" i="17"/>
  <c r="E134" i="17"/>
  <c r="G133" i="17"/>
  <c r="E133" i="17"/>
  <c r="G132" i="17"/>
  <c r="E132" i="17"/>
  <c r="G131" i="17"/>
  <c r="E131" i="17"/>
  <c r="G130" i="17"/>
  <c r="E130" i="17"/>
  <c r="G129" i="17"/>
  <c r="E129" i="17"/>
  <c r="G128" i="17"/>
  <c r="E128" i="17"/>
  <c r="G127" i="17"/>
  <c r="E127" i="17"/>
  <c r="G126" i="17"/>
  <c r="E126" i="17"/>
  <c r="G125" i="17"/>
  <c r="E125" i="17"/>
  <c r="G124" i="17"/>
  <c r="E124" i="17"/>
  <c r="G123" i="17"/>
  <c r="E123" i="17"/>
  <c r="G122" i="17"/>
  <c r="E122" i="17"/>
  <c r="AH127" i="17" l="1"/>
  <c r="AG127" i="17" s="1"/>
  <c r="AH143" i="17"/>
  <c r="AG143" i="17" s="1"/>
  <c r="AH142" i="17"/>
  <c r="AG142" i="17" s="1"/>
  <c r="F48" i="19" l="1"/>
  <c r="F47" i="19"/>
  <c r="AE121" i="17" l="1"/>
  <c r="Z121" i="17"/>
  <c r="U121" i="17"/>
  <c r="T121" i="17"/>
  <c r="N2" i="17" l="1"/>
  <c r="AF120" i="17" l="1"/>
  <c r="AF118" i="17"/>
  <c r="AF116" i="17"/>
  <c r="AF115" i="17"/>
  <c r="Z120" i="17"/>
  <c r="Z118" i="17"/>
  <c r="Z117" i="17"/>
  <c r="Z116" i="17"/>
  <c r="Z115" i="17"/>
  <c r="U120" i="17"/>
  <c r="S120" i="17"/>
  <c r="U119" i="17"/>
  <c r="S119" i="17"/>
  <c r="U118" i="17"/>
  <c r="S118" i="17"/>
  <c r="U117" i="17"/>
  <c r="S117" i="17"/>
  <c r="U116" i="17"/>
  <c r="T116" i="17"/>
  <c r="S116" i="17"/>
  <c r="U115" i="17"/>
  <c r="T115" i="17"/>
  <c r="S115" i="17"/>
  <c r="N120" i="17"/>
  <c r="AH120" i="17" s="1"/>
  <c r="AG120" i="17" s="1"/>
  <c r="N119" i="17"/>
  <c r="N118" i="17"/>
  <c r="N116" i="17"/>
  <c r="AH116" i="17" s="1"/>
  <c r="AG116" i="17" s="1"/>
  <c r="N115" i="17"/>
  <c r="G120" i="17"/>
  <c r="G119" i="17"/>
  <c r="G118" i="17"/>
  <c r="G117" i="17"/>
  <c r="G116" i="17"/>
  <c r="E115" i="17"/>
  <c r="E116" i="17"/>
  <c r="E117" i="17"/>
  <c r="E118" i="17"/>
  <c r="E119" i="17"/>
  <c r="E120" i="17"/>
  <c r="L115" i="17" l="1"/>
  <c r="AH118" i="17"/>
  <c r="AG118" i="17" s="1"/>
  <c r="L116" i="17"/>
  <c r="AH115" i="17"/>
  <c r="AG115" i="17" s="1"/>
  <c r="V115" i="17"/>
  <c r="V116" i="17"/>
  <c r="V119" i="17"/>
  <c r="V120" i="17"/>
  <c r="L118" i="17"/>
  <c r="L120" i="17" l="1"/>
  <c r="AF17" i="17" l="1"/>
  <c r="AF114" i="17"/>
  <c r="AF113" i="17"/>
  <c r="AF112" i="17"/>
  <c r="AF111" i="17"/>
  <c r="AF110" i="17"/>
  <c r="AF109" i="17"/>
  <c r="AF108" i="17"/>
  <c r="AF107" i="17"/>
  <c r="AF106" i="17"/>
  <c r="AF105" i="17"/>
  <c r="AF104" i="17"/>
  <c r="AF103" i="17"/>
  <c r="AF102" i="17"/>
  <c r="AF101" i="17"/>
  <c r="AF100" i="17"/>
  <c r="AF99" i="17"/>
  <c r="AF98" i="17"/>
  <c r="AF97" i="17"/>
  <c r="AF96" i="17"/>
  <c r="AF95" i="17"/>
  <c r="AF94" i="17"/>
  <c r="AF93" i="17"/>
  <c r="AF92" i="17"/>
  <c r="AF91" i="17"/>
  <c r="AF90" i="17"/>
  <c r="AF89" i="17"/>
  <c r="Z114" i="17"/>
  <c r="Z113" i="17"/>
  <c r="Z112" i="17"/>
  <c r="Z111" i="17"/>
  <c r="Z110" i="17"/>
  <c r="Z109" i="17"/>
  <c r="Z108" i="17"/>
  <c r="Z107" i="17"/>
  <c r="Z106" i="17"/>
  <c r="Z105" i="17"/>
  <c r="Z104" i="17"/>
  <c r="Z103" i="17"/>
  <c r="Z102" i="17"/>
  <c r="Z101" i="17"/>
  <c r="Z100" i="17"/>
  <c r="Z99" i="17"/>
  <c r="Z98" i="17"/>
  <c r="Z97" i="17"/>
  <c r="Z96" i="17"/>
  <c r="Z95" i="17"/>
  <c r="Z94" i="17"/>
  <c r="Z93" i="17"/>
  <c r="Z92" i="17"/>
  <c r="Z91" i="17"/>
  <c r="Z90" i="17"/>
  <c r="Z89" i="17"/>
  <c r="U114" i="17"/>
  <c r="T114" i="17"/>
  <c r="S114" i="17"/>
  <c r="U113" i="17"/>
  <c r="T113" i="17"/>
  <c r="S113" i="17"/>
  <c r="U112" i="17"/>
  <c r="T112" i="17"/>
  <c r="S112" i="17"/>
  <c r="U111" i="17"/>
  <c r="T111" i="17"/>
  <c r="S111" i="17"/>
  <c r="U110" i="17"/>
  <c r="T110" i="17"/>
  <c r="S110" i="17"/>
  <c r="U109" i="17"/>
  <c r="T109" i="17"/>
  <c r="S109" i="17"/>
  <c r="U108" i="17"/>
  <c r="T108" i="17"/>
  <c r="S108" i="17"/>
  <c r="U107" i="17"/>
  <c r="T107" i="17"/>
  <c r="S107" i="17"/>
  <c r="U106" i="17"/>
  <c r="T106" i="17"/>
  <c r="S106" i="17"/>
  <c r="U105" i="17"/>
  <c r="T105" i="17"/>
  <c r="S105" i="17"/>
  <c r="U104" i="17"/>
  <c r="T104" i="17"/>
  <c r="S104" i="17"/>
  <c r="U103" i="17"/>
  <c r="T103" i="17"/>
  <c r="S103" i="17"/>
  <c r="U102" i="17"/>
  <c r="T102" i="17"/>
  <c r="S102" i="17"/>
  <c r="U101" i="17"/>
  <c r="T101" i="17"/>
  <c r="S101" i="17"/>
  <c r="U100" i="17"/>
  <c r="T100" i="17"/>
  <c r="S100" i="17"/>
  <c r="U99" i="17"/>
  <c r="T99" i="17"/>
  <c r="S99" i="17"/>
  <c r="U98" i="17"/>
  <c r="T98" i="17"/>
  <c r="S98" i="17"/>
  <c r="U97" i="17"/>
  <c r="T97" i="17"/>
  <c r="S97" i="17"/>
  <c r="U96" i="17"/>
  <c r="T96" i="17"/>
  <c r="S96" i="17"/>
  <c r="U95" i="17"/>
  <c r="T95" i="17"/>
  <c r="S95" i="17"/>
  <c r="U94" i="17"/>
  <c r="T94" i="17"/>
  <c r="S94" i="17"/>
  <c r="U93" i="17"/>
  <c r="T93" i="17"/>
  <c r="S93" i="17"/>
  <c r="U92" i="17"/>
  <c r="T92" i="17"/>
  <c r="S92" i="17"/>
  <c r="U91" i="17"/>
  <c r="T91" i="17"/>
  <c r="S91" i="17"/>
  <c r="U90" i="17"/>
  <c r="T90" i="17"/>
  <c r="S90" i="17"/>
  <c r="U89" i="17"/>
  <c r="T89" i="17"/>
  <c r="S89" i="17"/>
  <c r="N114" i="17"/>
  <c r="AH114" i="17" s="1"/>
  <c r="AG114" i="17" s="1"/>
  <c r="N113" i="17"/>
  <c r="L113" i="17" s="1"/>
  <c r="N112" i="17"/>
  <c r="N111" i="17"/>
  <c r="L111" i="17" s="1"/>
  <c r="N110" i="17"/>
  <c r="AH110" i="17" s="1"/>
  <c r="AG110" i="17" s="1"/>
  <c r="N109" i="17"/>
  <c r="N108" i="17"/>
  <c r="N107" i="17"/>
  <c r="N106" i="17"/>
  <c r="AH106" i="17" s="1"/>
  <c r="AG106" i="17" s="1"/>
  <c r="N105" i="17"/>
  <c r="N104" i="17"/>
  <c r="L104" i="17" s="1"/>
  <c r="N103" i="17"/>
  <c r="L103" i="17" s="1"/>
  <c r="N102" i="17"/>
  <c r="AH102" i="17" s="1"/>
  <c r="AG102" i="17" s="1"/>
  <c r="N101" i="17"/>
  <c r="L101" i="17" s="1"/>
  <c r="N100" i="17"/>
  <c r="L100" i="17" s="1"/>
  <c r="N99" i="17"/>
  <c r="L99" i="17" s="1"/>
  <c r="N98" i="17"/>
  <c r="AH98" i="17" s="1"/>
  <c r="AG98" i="17" s="1"/>
  <c r="N97" i="17"/>
  <c r="L97" i="17" s="1"/>
  <c r="N96" i="17"/>
  <c r="L96" i="17" s="1"/>
  <c r="N95" i="17"/>
  <c r="N94" i="17"/>
  <c r="N93" i="17"/>
  <c r="N92" i="17"/>
  <c r="L92" i="17" s="1"/>
  <c r="N91" i="17"/>
  <c r="N90" i="17"/>
  <c r="N89"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L89" i="17" l="1"/>
  <c r="L93" i="17"/>
  <c r="AH105" i="17"/>
  <c r="AG105" i="17" s="1"/>
  <c r="L109" i="17"/>
  <c r="AH90" i="17"/>
  <c r="AG90" i="17" s="1"/>
  <c r="AH94" i="17"/>
  <c r="AG94" i="17" s="1"/>
  <c r="AH91" i="17"/>
  <c r="AG91" i="17" s="1"/>
  <c r="L95" i="17"/>
  <c r="L107" i="17"/>
  <c r="L108" i="17"/>
  <c r="L112" i="17"/>
  <c r="L90" i="17"/>
  <c r="L94" i="17"/>
  <c r="L105" i="17"/>
  <c r="L106" i="17"/>
  <c r="L98" i="17"/>
  <c r="L110" i="17"/>
  <c r="L102" i="17"/>
  <c r="L114" i="17"/>
  <c r="L91" i="17"/>
  <c r="AH97" i="17"/>
  <c r="AG97" i="17" s="1"/>
  <c r="AH100" i="17"/>
  <c r="AG100" i="17" s="1"/>
  <c r="AH107" i="17"/>
  <c r="AG107" i="17" s="1"/>
  <c r="AH113" i="17"/>
  <c r="AG113" i="17" s="1"/>
  <c r="V89" i="17"/>
  <c r="V90" i="17"/>
  <c r="V91" i="17"/>
  <c r="V92" i="17"/>
  <c r="V93" i="17"/>
  <c r="V94" i="17"/>
  <c r="V95" i="17"/>
  <c r="V96" i="17"/>
  <c r="V97" i="17"/>
  <c r="V98" i="17"/>
  <c r="V99" i="17"/>
  <c r="V100" i="17"/>
  <c r="V101" i="17"/>
  <c r="V102" i="17"/>
  <c r="V103" i="17"/>
  <c r="V104" i="17"/>
  <c r="V105" i="17"/>
  <c r="V106" i="17"/>
  <c r="V107" i="17"/>
  <c r="V108" i="17"/>
  <c r="V109" i="17"/>
  <c r="V110" i="17"/>
  <c r="V111" i="17"/>
  <c r="V112" i="17"/>
  <c r="V113" i="17"/>
  <c r="V114" i="17"/>
  <c r="AH93" i="17"/>
  <c r="AG93" i="17" s="1"/>
  <c r="AH96" i="17"/>
  <c r="AG96" i="17" s="1"/>
  <c r="AH103" i="17"/>
  <c r="AG103" i="17" s="1"/>
  <c r="AH109" i="17"/>
  <c r="AG109" i="17" s="1"/>
  <c r="AH112" i="17"/>
  <c r="AG112" i="17" s="1"/>
  <c r="AH89" i="17"/>
  <c r="AG89" i="17" s="1"/>
  <c r="AH92" i="17"/>
  <c r="AG92" i="17" s="1"/>
  <c r="AH99" i="17"/>
  <c r="AG99" i="17" s="1"/>
  <c r="AH108" i="17"/>
  <c r="AG108" i="17" s="1"/>
  <c r="AH95" i="17"/>
  <c r="AG95" i="17" s="1"/>
  <c r="AH101" i="17"/>
  <c r="AG101" i="17" s="1"/>
  <c r="AH104" i="17"/>
  <c r="AG104" i="17" s="1"/>
  <c r="AH111" i="17"/>
  <c r="AG111" i="17" s="1"/>
  <c r="AF11" i="17" l="1"/>
  <c r="AF10" i="17"/>
  <c r="AF9" i="17"/>
  <c r="AF8" i="17"/>
  <c r="AF6" i="17"/>
  <c r="AF5" i="17"/>
  <c r="AF2" i="17"/>
  <c r="Z11" i="17"/>
  <c r="Z10" i="17"/>
  <c r="Z9" i="17"/>
  <c r="Z8" i="17"/>
  <c r="Z6" i="17"/>
  <c r="Z5" i="17"/>
  <c r="Z2" i="17"/>
  <c r="U11" i="17"/>
  <c r="T11" i="17"/>
  <c r="S11" i="17"/>
  <c r="U10" i="17"/>
  <c r="T10" i="17"/>
  <c r="S10" i="17"/>
  <c r="U9" i="17"/>
  <c r="T9" i="17"/>
  <c r="S9" i="17"/>
  <c r="U8" i="17"/>
  <c r="T8" i="17"/>
  <c r="S8" i="17"/>
  <c r="U7" i="17"/>
  <c r="T7" i="17"/>
  <c r="S7" i="17"/>
  <c r="U6" i="17"/>
  <c r="T6" i="17"/>
  <c r="S6" i="17"/>
  <c r="U5" i="17"/>
  <c r="T5" i="17"/>
  <c r="S5" i="17"/>
  <c r="U4" i="17"/>
  <c r="T4" i="17"/>
  <c r="S4" i="17"/>
  <c r="U3" i="17"/>
  <c r="T3" i="17"/>
  <c r="S3" i="17"/>
  <c r="AF34" i="17" l="1"/>
  <c r="AE34" i="17"/>
  <c r="AF33" i="17"/>
  <c r="AE33" i="17"/>
  <c r="AF32" i="17"/>
  <c r="AE32" i="17"/>
  <c r="Z34" i="17"/>
  <c r="Z33" i="17"/>
  <c r="Z32" i="17"/>
  <c r="N34" i="17"/>
  <c r="N33" i="17"/>
  <c r="N32" i="17"/>
  <c r="L32" i="17" s="1"/>
  <c r="N31" i="17"/>
  <c r="N30" i="17"/>
  <c r="N29" i="17"/>
  <c r="N28" i="17"/>
  <c r="N27" i="17"/>
  <c r="N26" i="17"/>
  <c r="N24" i="17"/>
  <c r="N23" i="17"/>
  <c r="U27" i="17"/>
  <c r="T27" i="17"/>
  <c r="S27" i="17"/>
  <c r="U34" i="17"/>
  <c r="T34" i="17"/>
  <c r="S34" i="17"/>
  <c r="U33" i="17"/>
  <c r="T33" i="17"/>
  <c r="S33" i="17"/>
  <c r="U32" i="17"/>
  <c r="T32" i="17"/>
  <c r="S32" i="17"/>
  <c r="U31" i="17"/>
  <c r="T31" i="17"/>
  <c r="S31" i="17"/>
  <c r="U30" i="17"/>
  <c r="T30" i="17"/>
  <c r="S30" i="17"/>
  <c r="U29" i="17"/>
  <c r="T29" i="17"/>
  <c r="S29" i="17"/>
  <c r="U28" i="17"/>
  <c r="T28" i="17"/>
  <c r="S28" i="17"/>
  <c r="U26" i="17"/>
  <c r="T26" i="17"/>
  <c r="S26" i="17"/>
  <c r="U24" i="17"/>
  <c r="T24" i="17"/>
  <c r="S24" i="17"/>
  <c r="U23" i="17"/>
  <c r="T23" i="17"/>
  <c r="S23" i="17"/>
  <c r="L33" i="17" l="1"/>
  <c r="L34" i="17"/>
  <c r="V36" i="17"/>
  <c r="V27" i="17"/>
  <c r="V35" i="17"/>
  <c r="V23" i="17"/>
  <c r="V25" i="17"/>
  <c r="V29" i="17"/>
  <c r="V28" i="17"/>
  <c r="V24" i="17"/>
  <c r="V26" i="17"/>
  <c r="V32" i="17"/>
  <c r="V34" i="17"/>
  <c r="V33" i="17"/>
  <c r="AH32" i="17"/>
  <c r="AG32" i="17" s="1"/>
  <c r="AH34" i="17"/>
  <c r="AG34" i="17" s="1"/>
  <c r="V30" i="17"/>
  <c r="V31" i="17"/>
  <c r="AH33" i="17"/>
  <c r="AG33" i="17" s="1"/>
  <c r="G34" i="17"/>
  <c r="G33" i="17"/>
  <c r="G32" i="17"/>
  <c r="E34" i="17"/>
  <c r="E33" i="17"/>
  <c r="E32" i="17"/>
  <c r="AF61" i="17" l="1"/>
  <c r="AE61" i="17"/>
  <c r="AF60" i="17"/>
  <c r="AE60" i="17"/>
  <c r="AF59" i="17"/>
  <c r="AE59" i="17"/>
  <c r="AF58" i="17"/>
  <c r="AE58" i="17"/>
  <c r="AF57" i="17"/>
  <c r="AE57" i="17"/>
  <c r="AF56" i="17"/>
  <c r="AE56" i="17"/>
  <c r="AF55" i="17"/>
  <c r="AE55" i="17"/>
  <c r="AF54" i="17"/>
  <c r="AE54" i="17"/>
  <c r="AF53" i="17"/>
  <c r="AE53" i="17"/>
  <c r="AF52" i="17"/>
  <c r="AE52" i="17"/>
  <c r="AF51" i="17"/>
  <c r="AE51" i="17"/>
  <c r="AF50" i="17"/>
  <c r="AE50" i="17"/>
  <c r="AF48" i="17"/>
  <c r="AE48" i="17"/>
  <c r="AF47" i="17"/>
  <c r="AE47" i="17"/>
  <c r="AF46" i="17"/>
  <c r="AE46" i="17"/>
  <c r="AF45" i="17"/>
  <c r="AE45" i="17"/>
  <c r="AF44" i="17"/>
  <c r="AE44" i="17"/>
  <c r="Z61" i="17"/>
  <c r="Z60" i="17"/>
  <c r="Z59" i="17"/>
  <c r="Z58" i="17"/>
  <c r="Z57" i="17"/>
  <c r="Z56" i="17"/>
  <c r="Z55" i="17"/>
  <c r="Z54" i="17"/>
  <c r="Z53" i="17"/>
  <c r="Z52" i="17"/>
  <c r="Z51" i="17"/>
  <c r="Z50" i="17"/>
  <c r="Z48" i="17"/>
  <c r="Z47" i="17"/>
  <c r="Z46" i="17"/>
  <c r="Z45" i="17"/>
  <c r="Z44" i="17"/>
  <c r="U43" i="17" l="1"/>
  <c r="T43" i="17"/>
  <c r="U61" i="17"/>
  <c r="T61" i="17"/>
  <c r="U60" i="17"/>
  <c r="T60" i="17"/>
  <c r="U59" i="17"/>
  <c r="T59" i="17"/>
  <c r="U58" i="17"/>
  <c r="T58" i="17"/>
  <c r="U57" i="17"/>
  <c r="T57" i="17"/>
  <c r="U56" i="17"/>
  <c r="T56" i="17"/>
  <c r="U55" i="17"/>
  <c r="T55" i="17"/>
  <c r="U54" i="17"/>
  <c r="T54" i="17"/>
  <c r="U53" i="17"/>
  <c r="T53" i="17"/>
  <c r="U52" i="17"/>
  <c r="T52" i="17"/>
  <c r="U51" i="17"/>
  <c r="T51" i="17"/>
  <c r="U50" i="17"/>
  <c r="T50" i="17"/>
  <c r="U49" i="17"/>
  <c r="T49" i="17"/>
  <c r="U48" i="17"/>
  <c r="T48" i="17"/>
  <c r="U47" i="17"/>
  <c r="T47" i="17"/>
  <c r="U46" i="17"/>
  <c r="T46" i="17"/>
  <c r="U45" i="17"/>
  <c r="T45" i="17"/>
  <c r="U44" i="17"/>
  <c r="T44" i="17"/>
  <c r="G61" i="17"/>
  <c r="G60" i="17"/>
  <c r="G59" i="17"/>
  <c r="G58" i="17"/>
  <c r="G57" i="17"/>
  <c r="G56" i="17"/>
  <c r="G55" i="17"/>
  <c r="G54" i="17"/>
  <c r="G53" i="17"/>
  <c r="G52" i="17"/>
  <c r="G51" i="17"/>
  <c r="G50" i="17"/>
  <c r="G49" i="17"/>
  <c r="G48" i="17"/>
  <c r="G47" i="17"/>
  <c r="G46" i="17"/>
  <c r="G45" i="17"/>
  <c r="G44" i="17"/>
  <c r="E61" i="17"/>
  <c r="E60" i="17"/>
  <c r="E59" i="17"/>
  <c r="E58" i="17"/>
  <c r="E57" i="17"/>
  <c r="E56" i="17"/>
  <c r="E55" i="17"/>
  <c r="E54" i="17"/>
  <c r="E53" i="17"/>
  <c r="E52" i="17"/>
  <c r="E51" i="17"/>
  <c r="E50" i="17"/>
  <c r="E49" i="17"/>
  <c r="E48" i="17"/>
  <c r="E47" i="17"/>
  <c r="E46" i="17"/>
  <c r="E45" i="17"/>
  <c r="E44" i="17"/>
  <c r="AK25" i="20" l="1"/>
  <c r="AJ25" i="20"/>
  <c r="Z88" i="17" l="1"/>
  <c r="Z86" i="17"/>
  <c r="Z85" i="17"/>
  <c r="Z84" i="17"/>
  <c r="Z83" i="17"/>
  <c r="Z82" i="17"/>
  <c r="Z81" i="17"/>
  <c r="Z80" i="17"/>
  <c r="Z79" i="17"/>
  <c r="Z78" i="17"/>
  <c r="Z77" i="17"/>
  <c r="Z76" i="17"/>
  <c r="Z75" i="17"/>
  <c r="Z74" i="17"/>
  <c r="Z73" i="17"/>
  <c r="Z72" i="17"/>
  <c r="Z71" i="17"/>
  <c r="Z70" i="17"/>
  <c r="Z69" i="17"/>
  <c r="Z68" i="17"/>
  <c r="Z67" i="17"/>
  <c r="Z66" i="17"/>
  <c r="Z65" i="17"/>
  <c r="Z64" i="17"/>
  <c r="Z63" i="17"/>
  <c r="Z62" i="17"/>
  <c r="AF88" i="17"/>
  <c r="AF86" i="17"/>
  <c r="AF85" i="17"/>
  <c r="AF84" i="17"/>
  <c r="AF83" i="17"/>
  <c r="AF82" i="17"/>
  <c r="AF81" i="17"/>
  <c r="AF80" i="17"/>
  <c r="AF79" i="17"/>
  <c r="AF78" i="17"/>
  <c r="AF77" i="17"/>
  <c r="AF76" i="17"/>
  <c r="AF75" i="17"/>
  <c r="AF74" i="17"/>
  <c r="AF73" i="17"/>
  <c r="AF72" i="17"/>
  <c r="AF71" i="17"/>
  <c r="AF70" i="17"/>
  <c r="AF69" i="17"/>
  <c r="AF68" i="17"/>
  <c r="AF67" i="17"/>
  <c r="AF66" i="17"/>
  <c r="AF65" i="17"/>
  <c r="AF64" i="17"/>
  <c r="AF63" i="17"/>
  <c r="AF62" i="17"/>
  <c r="U88" i="17"/>
  <c r="T88" i="17"/>
  <c r="U87" i="17"/>
  <c r="T87" i="17"/>
  <c r="U86" i="17"/>
  <c r="T86" i="17"/>
  <c r="U85" i="17"/>
  <c r="T85" i="17"/>
  <c r="U84" i="17"/>
  <c r="T84" i="17"/>
  <c r="U83" i="17"/>
  <c r="T83" i="17"/>
  <c r="U82" i="17"/>
  <c r="T82" i="17"/>
  <c r="U81" i="17"/>
  <c r="T81" i="17"/>
  <c r="U80" i="17"/>
  <c r="T80" i="17"/>
  <c r="U79" i="17"/>
  <c r="T79" i="17"/>
  <c r="U78" i="17"/>
  <c r="T78" i="17"/>
  <c r="U77" i="17"/>
  <c r="T77" i="17"/>
  <c r="U76" i="17"/>
  <c r="T76" i="17"/>
  <c r="U75" i="17"/>
  <c r="T75" i="17"/>
  <c r="U74" i="17"/>
  <c r="T74" i="17"/>
  <c r="U73" i="17"/>
  <c r="T73" i="17"/>
  <c r="U72" i="17"/>
  <c r="T72" i="17"/>
  <c r="U71" i="17"/>
  <c r="T71" i="17"/>
  <c r="U70" i="17"/>
  <c r="T70" i="17"/>
  <c r="U69" i="17"/>
  <c r="T69" i="17"/>
  <c r="U68" i="17"/>
  <c r="T68" i="17"/>
  <c r="U67" i="17"/>
  <c r="T67" i="17"/>
  <c r="U66" i="17"/>
  <c r="T66" i="17"/>
  <c r="U65" i="17"/>
  <c r="T65" i="17"/>
  <c r="U64" i="17"/>
  <c r="T64" i="17"/>
  <c r="U63" i="17"/>
  <c r="T63" i="17"/>
  <c r="U62" i="17"/>
  <c r="T62" i="17"/>
  <c r="N88" i="17"/>
  <c r="L88" i="17" s="1"/>
  <c r="N87" i="17"/>
  <c r="N86" i="17"/>
  <c r="L86" i="17" s="1"/>
  <c r="N85" i="17"/>
  <c r="L85" i="17" s="1"/>
  <c r="N84" i="17"/>
  <c r="L84" i="17" s="1"/>
  <c r="N83" i="17"/>
  <c r="L83" i="17" s="1"/>
  <c r="N82" i="17"/>
  <c r="L82" i="17" s="1"/>
  <c r="N81" i="17"/>
  <c r="AH81" i="17" s="1"/>
  <c r="AG81" i="17" s="1"/>
  <c r="N80" i="17"/>
  <c r="AH80" i="17" s="1"/>
  <c r="AG80" i="17" s="1"/>
  <c r="N79" i="17"/>
  <c r="L79" i="17" s="1"/>
  <c r="N78" i="17"/>
  <c r="L78" i="17" s="1"/>
  <c r="N77" i="17"/>
  <c r="L77" i="17" s="1"/>
  <c r="N76" i="17"/>
  <c r="L76" i="17" s="1"/>
  <c r="N75" i="17"/>
  <c r="L75" i="17" s="1"/>
  <c r="N74" i="17"/>
  <c r="L74" i="17" s="1"/>
  <c r="N73" i="17"/>
  <c r="L73" i="17" s="1"/>
  <c r="N72" i="17"/>
  <c r="N70" i="17"/>
  <c r="L70" i="17" s="1"/>
  <c r="L72" i="17" l="1"/>
  <c r="L80" i="17"/>
  <c r="L81" i="17"/>
  <c r="AH74" i="17"/>
  <c r="AG74" i="17" s="1"/>
  <c r="AH76" i="17"/>
  <c r="AG76" i="17" s="1"/>
  <c r="AH83" i="17"/>
  <c r="AG83" i="17" s="1"/>
  <c r="AH85" i="17"/>
  <c r="AG85" i="17" s="1"/>
  <c r="AH73" i="17"/>
  <c r="AG73" i="17" s="1"/>
  <c r="AH78" i="17"/>
  <c r="AG78" i="17" s="1"/>
  <c r="AH88" i="17"/>
  <c r="AG88" i="17" s="1"/>
  <c r="AH75" i="17"/>
  <c r="AG75" i="17" s="1"/>
  <c r="AH77" i="17"/>
  <c r="AG77" i="17" s="1"/>
  <c r="AH82" i="17"/>
  <c r="AG82" i="17" s="1"/>
  <c r="AH84" i="17"/>
  <c r="AG84" i="17" s="1"/>
  <c r="AH70" i="17"/>
  <c r="AG70" i="17" s="1"/>
  <c r="AH72" i="17"/>
  <c r="AG72" i="17" s="1"/>
  <c r="AH79" i="17"/>
  <c r="AG79" i="17" s="1"/>
  <c r="AH86" i="17"/>
  <c r="AG86" i="17" s="1"/>
  <c r="U32" i="20"/>
  <c r="T32" i="20"/>
  <c r="AI31" i="20"/>
  <c r="AH31" i="20"/>
  <c r="N31" i="20"/>
  <c r="AI30" i="20"/>
  <c r="AH30" i="20"/>
  <c r="N30" i="20"/>
  <c r="AJ29" i="20"/>
  <c r="AK29" i="20" s="1"/>
  <c r="L29" i="20"/>
  <c r="L28" i="20"/>
  <c r="L27" i="20"/>
  <c r="L26" i="20"/>
  <c r="L25" i="20"/>
  <c r="L24" i="20"/>
  <c r="L23" i="20"/>
  <c r="L22" i="20"/>
  <c r="L21" i="20"/>
  <c r="L20" i="20"/>
  <c r="L19" i="20"/>
  <c r="L18" i="20"/>
  <c r="L17" i="20"/>
  <c r="L16" i="20"/>
  <c r="L15" i="20"/>
  <c r="L14" i="20"/>
  <c r="R13" i="20"/>
  <c r="R32" i="20" s="1"/>
  <c r="N13" i="20"/>
  <c r="L13" i="20" s="1"/>
  <c r="L12" i="20"/>
  <c r="L11" i="20"/>
  <c r="L10" i="20"/>
  <c r="L9" i="20"/>
  <c r="L8" i="20"/>
  <c r="L7" i="20"/>
  <c r="L6" i="20"/>
  <c r="L5" i="20"/>
  <c r="L4" i="20"/>
  <c r="L2" i="20"/>
  <c r="N32" i="20" l="1"/>
  <c r="AF42" i="17"/>
  <c r="AF40" i="17"/>
  <c r="AF39" i="17"/>
  <c r="AF38" i="17"/>
  <c r="AF37" i="17"/>
  <c r="AF31" i="17"/>
  <c r="AF30" i="17"/>
  <c r="AF29" i="17"/>
  <c r="AF28" i="17"/>
  <c r="AF27" i="17"/>
  <c r="AF26" i="17"/>
  <c r="AF24" i="17"/>
  <c r="AF23" i="17"/>
  <c r="Z43" i="17"/>
  <c r="Z42" i="17"/>
  <c r="Z41" i="17"/>
  <c r="Z40" i="17"/>
  <c r="Z39" i="17"/>
  <c r="Z38" i="17"/>
  <c r="Z37" i="17"/>
  <c r="U37" i="17"/>
  <c r="T37" i="17"/>
  <c r="S37" i="17"/>
  <c r="U42" i="17"/>
  <c r="T42" i="17"/>
  <c r="U41" i="17"/>
  <c r="T41" i="17"/>
  <c r="U40" i="17"/>
  <c r="T40" i="17"/>
  <c r="S40" i="17"/>
  <c r="U39" i="17"/>
  <c r="T39" i="17"/>
  <c r="S39" i="17"/>
  <c r="U38" i="17"/>
  <c r="T38" i="17"/>
  <c r="S38" i="17"/>
  <c r="E43" i="17" l="1"/>
  <c r="E42" i="17"/>
  <c r="E41" i="17"/>
  <c r="Z31" i="17" l="1"/>
  <c r="Z30" i="17"/>
  <c r="Z29" i="17"/>
  <c r="Z28" i="17"/>
  <c r="Z27" i="17"/>
  <c r="Z26" i="17"/>
  <c r="Z24" i="17"/>
  <c r="Z23" i="17"/>
  <c r="AF15" i="17" l="1"/>
  <c r="AF18" i="17"/>
  <c r="AF19" i="17"/>
  <c r="AF20" i="17"/>
  <c r="AF21" i="17"/>
  <c r="AF22" i="17"/>
  <c r="AF14" i="17"/>
  <c r="Z22" i="17" l="1"/>
  <c r="Z21" i="17"/>
  <c r="U22" i="17"/>
  <c r="T22" i="17"/>
  <c r="S22" i="17"/>
  <c r="U21" i="17"/>
  <c r="T21" i="17"/>
  <c r="S21" i="17"/>
  <c r="G22" i="17"/>
  <c r="E22" i="17"/>
  <c r="G21" i="17"/>
  <c r="E21" i="17"/>
  <c r="AF13" i="17" l="1"/>
  <c r="Z14" i="17"/>
  <c r="Z15" i="17"/>
  <c r="Z17" i="17"/>
  <c r="Z18" i="17"/>
  <c r="Z19" i="17"/>
  <c r="Z20" i="17"/>
  <c r="Z13" i="17"/>
  <c r="U13" i="17" l="1"/>
  <c r="U20" i="17"/>
  <c r="T20" i="17"/>
  <c r="S20" i="17"/>
  <c r="U19" i="17"/>
  <c r="T19" i="17"/>
  <c r="S19" i="17"/>
  <c r="U18" i="17"/>
  <c r="T18" i="17"/>
  <c r="S18" i="17"/>
  <c r="U17" i="17"/>
  <c r="T17" i="17"/>
  <c r="S17" i="17"/>
  <c r="U16" i="17"/>
  <c r="T16" i="17"/>
  <c r="S16" i="17"/>
  <c r="U15" i="17"/>
  <c r="T15" i="17"/>
  <c r="S15" i="17"/>
  <c r="U14" i="17"/>
  <c r="T14" i="17"/>
  <c r="S14" i="17"/>
  <c r="T13" i="17"/>
  <c r="S13" i="17"/>
  <c r="E20" i="17"/>
  <c r="E19" i="17"/>
  <c r="E18" i="17"/>
  <c r="E17" i="17"/>
  <c r="E16" i="17"/>
  <c r="G15" i="17"/>
  <c r="E15" i="17"/>
  <c r="G14" i="17"/>
  <c r="E14" i="17"/>
  <c r="G11" i="17" l="1"/>
  <c r="E11" i="17"/>
  <c r="G10" i="17"/>
  <c r="E10" i="17"/>
  <c r="G9" i="17"/>
  <c r="E9" i="17"/>
  <c r="G8" i="17"/>
  <c r="E8" i="17"/>
  <c r="G7" i="17"/>
  <c r="E7" i="17"/>
  <c r="G6" i="17"/>
  <c r="E6" i="17"/>
  <c r="G5" i="17"/>
  <c r="E5" i="17"/>
  <c r="G4" i="17"/>
  <c r="E4" i="17"/>
  <c r="G3" i="17"/>
  <c r="E3" i="17"/>
  <c r="U2" i="17" l="1"/>
  <c r="T2" i="17"/>
  <c r="S2" i="17"/>
  <c r="E8" i="1" l="1"/>
  <c r="C8" i="1"/>
  <c r="E13" i="17"/>
  <c r="E23" i="17"/>
  <c r="E24" i="17"/>
  <c r="E26" i="17"/>
  <c r="E27" i="17"/>
  <c r="E28" i="17"/>
  <c r="E29" i="17"/>
  <c r="E30" i="17"/>
  <c r="E31" i="17"/>
  <c r="E37" i="17"/>
  <c r="E38" i="17"/>
  <c r="E39" i="17"/>
  <c r="E40"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121" i="17"/>
  <c r="E145" i="17"/>
  <c r="E169" i="17"/>
  <c r="E170" i="17"/>
  <c r="E171" i="17"/>
  <c r="E172" i="17"/>
  <c r="E173"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G2" i="17"/>
  <c r="G13" i="17"/>
  <c r="G16" i="17"/>
  <c r="G17" i="17"/>
  <c r="G18" i="17"/>
  <c r="G19" i="17"/>
  <c r="G20" i="17"/>
  <c r="G23" i="17"/>
  <c r="G24" i="17"/>
  <c r="G26" i="17"/>
  <c r="G27" i="17"/>
  <c r="G28" i="17"/>
  <c r="G29" i="17"/>
  <c r="G30" i="17"/>
  <c r="G31" i="17"/>
  <c r="G37" i="17"/>
  <c r="G38" i="17"/>
  <c r="G39" i="17"/>
  <c r="G40" i="17"/>
  <c r="G41" i="17"/>
  <c r="G42" i="17"/>
  <c r="G43"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21" i="17"/>
  <c r="G145" i="17"/>
  <c r="G169" i="17"/>
  <c r="G170" i="17"/>
  <c r="G171" i="17"/>
  <c r="G172" i="17"/>
  <c r="G173"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E2" i="17"/>
  <c r="V2" i="17" l="1"/>
  <c r="AH2" i="17"/>
  <c r="AG2" i="17" s="1"/>
  <c r="L2" i="17"/>
  <c r="AF237" i="17"/>
  <c r="AF236" i="17"/>
  <c r="AF235" i="17"/>
  <c r="AF234" i="17"/>
  <c r="AF233" i="17"/>
  <c r="AF232" i="17"/>
  <c r="AF231" i="17"/>
  <c r="AF230" i="17"/>
  <c r="AF229" i="17"/>
  <c r="AF228" i="17"/>
  <c r="AF227" i="17"/>
  <c r="AF226" i="17"/>
  <c r="AF225" i="17"/>
  <c r="AF224" i="17"/>
  <c r="AF223" i="17"/>
  <c r="AF222" i="17"/>
  <c r="AF221" i="17"/>
  <c r="AF220" i="17"/>
  <c r="AF219" i="17"/>
  <c r="AF218" i="17"/>
  <c r="AF217" i="17"/>
  <c r="AF216" i="17"/>
  <c r="AF215" i="17"/>
  <c r="AF214" i="17"/>
  <c r="AF213" i="17"/>
  <c r="AF212" i="17"/>
  <c r="AF211" i="17"/>
  <c r="AF210" i="17"/>
  <c r="AF209" i="17"/>
  <c r="AF208" i="17"/>
  <c r="AF207" i="17"/>
  <c r="AF206" i="17"/>
  <c r="AF205" i="17"/>
  <c r="AF204" i="17"/>
  <c r="AF203" i="17"/>
  <c r="AF202" i="17"/>
  <c r="AF201" i="17"/>
  <c r="AF200" i="17"/>
  <c r="AF199" i="17"/>
  <c r="AF198" i="17"/>
  <c r="AF197" i="17"/>
  <c r="AF196" i="17"/>
  <c r="AF195" i="17"/>
  <c r="AF194" i="17"/>
  <c r="AF193" i="17"/>
  <c r="AF192" i="17"/>
  <c r="AF191" i="17"/>
  <c r="AF190" i="17"/>
  <c r="AF189" i="17"/>
  <c r="AF188" i="17"/>
  <c r="AF187" i="17"/>
  <c r="AF186" i="17"/>
  <c r="AF185" i="17"/>
  <c r="AF184" i="17"/>
  <c r="AF183" i="17"/>
  <c r="AF182" i="17"/>
  <c r="AF181" i="17"/>
  <c r="AF180" i="17"/>
  <c r="AF179" i="17"/>
  <c r="AF178" i="17"/>
  <c r="AF177" i="17"/>
  <c r="AE237" i="17" l="1"/>
  <c r="AE236" i="17"/>
  <c r="AE235" i="17"/>
  <c r="AE234" i="17"/>
  <c r="AE233" i="17"/>
  <c r="AE232" i="17"/>
  <c r="AE231" i="17"/>
  <c r="AE230" i="17"/>
  <c r="AE229" i="17"/>
  <c r="AE228" i="17"/>
  <c r="AE227" i="17"/>
  <c r="AE226" i="17"/>
  <c r="AE225" i="17"/>
  <c r="AE224" i="17"/>
  <c r="AE223" i="17"/>
  <c r="AE222" i="17"/>
  <c r="AE221" i="17"/>
  <c r="AE220" i="17"/>
  <c r="AE219" i="17"/>
  <c r="AE218" i="17"/>
  <c r="AE217" i="17"/>
  <c r="AE216" i="17"/>
  <c r="AE215" i="17"/>
  <c r="AE214" i="17"/>
  <c r="AE213" i="17"/>
  <c r="AE212" i="17"/>
  <c r="AE211" i="17"/>
  <c r="AE210" i="17"/>
  <c r="AE209" i="17"/>
  <c r="AE208" i="17"/>
  <c r="AE207" i="17"/>
  <c r="AE206" i="17"/>
  <c r="AE205" i="17"/>
  <c r="AE204" i="17"/>
  <c r="AE203" i="17"/>
  <c r="AE202" i="17"/>
  <c r="AE201" i="17"/>
  <c r="AE200" i="17"/>
  <c r="AE199" i="17"/>
  <c r="AE198" i="17"/>
  <c r="AE197" i="17"/>
  <c r="AE196" i="17"/>
  <c r="AE195" i="17"/>
  <c r="AE194" i="17"/>
  <c r="AE193" i="17"/>
  <c r="AE192" i="17"/>
  <c r="AE191" i="17"/>
  <c r="AE190" i="17"/>
  <c r="AE189" i="17"/>
  <c r="AE188" i="17"/>
  <c r="AE187" i="17"/>
  <c r="AE186" i="17"/>
  <c r="AE185" i="17"/>
  <c r="AE184" i="17"/>
  <c r="AE183" i="17"/>
  <c r="AE182" i="17"/>
  <c r="AE181" i="17"/>
  <c r="AE180" i="17"/>
  <c r="AE179" i="17"/>
  <c r="AE178" i="17"/>
  <c r="AE177" i="17"/>
  <c r="AE173" i="17"/>
  <c r="AE172" i="17"/>
  <c r="AE171" i="17"/>
  <c r="AE170" i="17"/>
  <c r="AE169" i="17"/>
  <c r="AE167" i="17"/>
  <c r="AE166" i="17"/>
  <c r="AE165" i="17"/>
  <c r="AE164" i="17"/>
  <c r="AE163" i="17"/>
  <c r="AE162" i="17"/>
  <c r="AE161" i="17"/>
  <c r="AE160" i="17"/>
  <c r="AE159" i="17"/>
  <c r="AE158" i="17"/>
  <c r="AE157" i="17"/>
  <c r="AE156" i="17"/>
  <c r="AE155" i="17"/>
  <c r="AE154" i="17"/>
  <c r="AE153" i="17"/>
  <c r="AE152" i="17"/>
  <c r="AE151" i="17"/>
  <c r="AE150" i="17"/>
  <c r="AE149" i="17"/>
  <c r="AE148" i="17"/>
  <c r="AE147" i="17"/>
  <c r="AE146" i="17"/>
  <c r="AE145" i="17"/>
  <c r="AE143" i="17"/>
  <c r="AE142" i="17"/>
  <c r="AE141" i="17"/>
  <c r="AE140" i="17"/>
  <c r="AE139" i="17"/>
  <c r="AE138" i="17"/>
  <c r="AE137" i="17"/>
  <c r="AE136" i="17"/>
  <c r="AE135" i="17"/>
  <c r="AE134" i="17"/>
  <c r="AE133" i="17"/>
  <c r="AE132" i="17"/>
  <c r="AE131" i="17"/>
  <c r="AE130" i="17"/>
  <c r="AE129" i="17"/>
  <c r="AE128" i="17"/>
  <c r="AE127" i="17"/>
  <c r="AE126" i="17"/>
  <c r="AE125" i="17"/>
  <c r="AE124" i="17"/>
  <c r="AE123" i="17"/>
  <c r="AE122" i="17"/>
  <c r="AE120" i="17"/>
  <c r="AE119" i="17"/>
  <c r="AE118" i="17"/>
  <c r="AE117" i="17"/>
  <c r="AE116" i="17"/>
  <c r="AE115" i="17"/>
  <c r="AE114" i="17"/>
  <c r="AE113" i="17"/>
  <c r="AE112" i="17"/>
  <c r="AE111" i="17"/>
  <c r="AE110" i="17"/>
  <c r="AE109" i="17"/>
  <c r="AE108" i="17"/>
  <c r="AE107" i="17"/>
  <c r="AE106" i="17"/>
  <c r="AE105" i="17"/>
  <c r="AE104" i="17"/>
  <c r="AE103" i="17"/>
  <c r="AE102" i="17"/>
  <c r="AE101" i="17"/>
  <c r="AE100" i="17"/>
  <c r="AE99" i="17"/>
  <c r="AE98" i="17"/>
  <c r="AE97" i="17"/>
  <c r="AE96" i="17"/>
  <c r="AE95" i="17"/>
  <c r="AE94" i="17"/>
  <c r="AE93" i="17"/>
  <c r="AE92" i="17"/>
  <c r="AE91" i="17"/>
  <c r="AE90" i="17"/>
  <c r="AE89" i="17"/>
  <c r="AE88" i="17"/>
  <c r="AE86" i="17"/>
  <c r="AE85" i="17"/>
  <c r="AE84" i="17"/>
  <c r="AE83" i="17"/>
  <c r="AE82" i="17"/>
  <c r="AE81" i="17"/>
  <c r="AE80" i="17"/>
  <c r="AE79" i="17"/>
  <c r="AE78" i="17"/>
  <c r="AE77" i="17"/>
  <c r="AE76" i="17"/>
  <c r="AE75" i="17"/>
  <c r="AE74" i="17"/>
  <c r="AE73" i="17"/>
  <c r="AE72" i="17"/>
  <c r="AE71" i="17"/>
  <c r="AE70" i="17"/>
  <c r="AE69" i="17"/>
  <c r="AE68" i="17"/>
  <c r="AE67" i="17"/>
  <c r="AE66" i="17"/>
  <c r="AE65" i="17"/>
  <c r="AE64" i="17"/>
  <c r="AE63" i="17"/>
  <c r="AE62" i="17"/>
  <c r="AE43" i="17"/>
  <c r="AE42" i="17"/>
  <c r="AE41" i="17"/>
  <c r="AE40" i="17"/>
  <c r="AE39" i="17"/>
  <c r="AE38" i="17"/>
  <c r="AE37" i="17"/>
  <c r="AE31" i="17"/>
  <c r="AE30" i="17"/>
  <c r="AE29" i="17"/>
  <c r="AE28" i="17"/>
  <c r="AE27" i="17"/>
  <c r="AE26" i="17"/>
  <c r="AE24" i="17"/>
  <c r="AE23" i="17"/>
  <c r="AE22" i="17"/>
  <c r="AE21" i="17"/>
  <c r="AE20" i="17"/>
  <c r="AE19" i="17"/>
  <c r="AE18" i="17"/>
  <c r="AE17" i="17"/>
  <c r="AE16" i="17"/>
  <c r="AE15" i="17"/>
  <c r="AE14" i="17"/>
  <c r="AE13" i="17"/>
  <c r="AE11" i="17"/>
  <c r="AE10" i="17"/>
  <c r="AE9" i="17"/>
  <c r="AE8" i="17"/>
  <c r="AE6" i="17"/>
  <c r="AE5" i="17"/>
  <c r="N3" i="17"/>
  <c r="N237" i="17"/>
  <c r="N236" i="17"/>
  <c r="N235" i="17"/>
  <c r="N234" i="17"/>
  <c r="N233" i="17"/>
  <c r="N232" i="17"/>
  <c r="N231" i="17"/>
  <c r="N230" i="17"/>
  <c r="N229" i="17"/>
  <c r="N228" i="17"/>
  <c r="N227" i="17"/>
  <c r="N226" i="17"/>
  <c r="N225" i="17"/>
  <c r="N224" i="17"/>
  <c r="N223" i="17"/>
  <c r="N222" i="17"/>
  <c r="N221" i="17"/>
  <c r="N220" i="17"/>
  <c r="N219" i="17"/>
  <c r="N218" i="17"/>
  <c r="N217" i="17"/>
  <c r="N216" i="17"/>
  <c r="N215" i="17"/>
  <c r="N214" i="17"/>
  <c r="N213" i="17"/>
  <c r="N212" i="17"/>
  <c r="N211" i="17"/>
  <c r="N210" i="17"/>
  <c r="N209" i="17"/>
  <c r="N208" i="17"/>
  <c r="N207" i="17"/>
  <c r="N206" i="17"/>
  <c r="N205" i="17"/>
  <c r="N204" i="17"/>
  <c r="N203" i="17"/>
  <c r="N202" i="17"/>
  <c r="N201" i="17"/>
  <c r="N200" i="17"/>
  <c r="N199" i="17"/>
  <c r="N198" i="17"/>
  <c r="N197" i="17"/>
  <c r="N196" i="17"/>
  <c r="N195" i="17"/>
  <c r="N194" i="17"/>
  <c r="N193" i="17"/>
  <c r="N192" i="17"/>
  <c r="N191" i="17"/>
  <c r="N190" i="17"/>
  <c r="N189" i="17"/>
  <c r="N188" i="17"/>
  <c r="N187" i="17"/>
  <c r="N186" i="17"/>
  <c r="N185" i="17"/>
  <c r="N184" i="17"/>
  <c r="N183" i="17"/>
  <c r="N182" i="17"/>
  <c r="N181" i="17"/>
  <c r="N180" i="17"/>
  <c r="N179" i="17"/>
  <c r="N178" i="17"/>
  <c r="N22" i="17"/>
  <c r="N21" i="17"/>
  <c r="N15" i="17"/>
  <c r="N11" i="17"/>
  <c r="N10" i="17"/>
  <c r="N9" i="17"/>
  <c r="N8" i="17"/>
  <c r="N7" i="17"/>
  <c r="N6" i="17"/>
  <c r="N5" i="17"/>
  <c r="V12" i="17" s="1"/>
  <c r="N4" i="17"/>
  <c r="V11" i="17" l="1"/>
  <c r="V8" i="17"/>
  <c r="V10" i="17"/>
  <c r="V9" i="17"/>
  <c r="V3" i="17"/>
  <c r="V4" i="17"/>
  <c r="V7" i="17"/>
  <c r="V6" i="17"/>
  <c r="V5" i="17"/>
  <c r="L5" i="17"/>
  <c r="AH5" i="17"/>
  <c r="AG5" i="17" s="1"/>
  <c r="L11" i="17"/>
  <c r="AH11" i="17"/>
  <c r="AG11" i="17" s="1"/>
  <c r="L8" i="17"/>
  <c r="AH8" i="17"/>
  <c r="AG8" i="17" s="1"/>
  <c r="L9" i="17"/>
  <c r="AH9" i="17"/>
  <c r="AG9" i="17" s="1"/>
  <c r="L6" i="17"/>
  <c r="AH6" i="17"/>
  <c r="AG6" i="17" s="1"/>
  <c r="L10" i="17"/>
  <c r="AH10" i="17"/>
  <c r="AG10" i="17" s="1"/>
  <c r="AH28" i="17"/>
  <c r="AG28" i="17" s="1"/>
  <c r="L28" i="17"/>
  <c r="AH24" i="17"/>
  <c r="AG24" i="17" s="1"/>
  <c r="L24" i="17"/>
  <c r="L29" i="17"/>
  <c r="AH29" i="17"/>
  <c r="AG29" i="17" s="1"/>
  <c r="AH23" i="17"/>
  <c r="AG23" i="17" s="1"/>
  <c r="L23" i="17"/>
  <c r="AH21" i="17"/>
  <c r="AG21" i="17" s="1"/>
  <c r="L21" i="17"/>
  <c r="L26" i="17"/>
  <c r="AH26" i="17"/>
  <c r="AG26" i="17" s="1"/>
  <c r="AH30" i="17"/>
  <c r="AG30" i="17" s="1"/>
  <c r="L30" i="17"/>
  <c r="AH22" i="17"/>
  <c r="AG22" i="17" s="1"/>
  <c r="L22" i="17"/>
  <c r="L27" i="17"/>
  <c r="AH27" i="17"/>
  <c r="AG27" i="17" s="1"/>
  <c r="AH31" i="17"/>
  <c r="AG31" i="17" s="1"/>
  <c r="L31" i="17"/>
  <c r="L15" i="17"/>
  <c r="AH15" i="17"/>
  <c r="AG15" i="17" s="1"/>
  <c r="O238" i="17"/>
  <c r="AE2" i="17" l="1"/>
  <c r="N20" i="17" l="1"/>
  <c r="N14" i="17"/>
  <c r="N19" i="17"/>
  <c r="N17" i="17"/>
  <c r="AH17" i="17" s="1"/>
  <c r="AG17" i="17" s="1"/>
  <c r="N13" i="17"/>
  <c r="N16" i="17"/>
  <c r="N18" i="17"/>
  <c r="V22" i="17" l="1"/>
  <c r="V21" i="17"/>
  <c r="L18" i="17"/>
  <c r="AH18" i="17"/>
  <c r="AG18" i="17" s="1"/>
  <c r="L19" i="17"/>
  <c r="AH19" i="17"/>
  <c r="AG19" i="17" s="1"/>
  <c r="L17" i="17"/>
  <c r="L16" i="17"/>
  <c r="V18" i="17"/>
  <c r="V20" i="17"/>
  <c r="V19" i="17"/>
  <c r="V17" i="17"/>
  <c r="V16" i="17"/>
  <c r="L14" i="17"/>
  <c r="AH14" i="17"/>
  <c r="AG14" i="17" s="1"/>
  <c r="AH13" i="17"/>
  <c r="AG13" i="17" s="1"/>
  <c r="V14" i="17"/>
  <c r="V15" i="17"/>
  <c r="V13" i="17"/>
  <c r="L20" i="17"/>
  <c r="AH20" i="17"/>
  <c r="AG20" i="17" s="1"/>
  <c r="L13" i="17"/>
  <c r="N37" i="17"/>
  <c r="N38" i="17"/>
  <c r="N39" i="17"/>
  <c r="N40" i="17"/>
  <c r="N42" i="17"/>
  <c r="AH37" i="17" l="1"/>
  <c r="AG37" i="17" s="1"/>
  <c r="V40" i="17"/>
  <c r="V39" i="17"/>
  <c r="V38" i="17"/>
  <c r="V37" i="17"/>
  <c r="L39" i="17"/>
  <c r="AH39" i="17"/>
  <c r="AG39" i="17" s="1"/>
  <c r="L42" i="17"/>
  <c r="AH42" i="17"/>
  <c r="AG42" i="17" s="1"/>
  <c r="L38" i="17"/>
  <c r="AH38" i="17"/>
  <c r="AG38" i="17" s="1"/>
  <c r="L40" i="17"/>
  <c r="AH40" i="17"/>
  <c r="AG40" i="17" s="1"/>
  <c r="L37" i="17"/>
  <c r="R238" i="17" l="1"/>
  <c r="N63" i="17"/>
  <c r="N69" i="17"/>
  <c r="AH69" i="17" s="1"/>
  <c r="AG69" i="17" s="1"/>
  <c r="N64" i="17"/>
  <c r="N68" i="17"/>
  <c r="N62" i="17"/>
  <c r="N66" i="17"/>
  <c r="AH66" i="17" s="1"/>
  <c r="AG66" i="17" s="1"/>
  <c r="N71" i="17"/>
  <c r="N65" i="17"/>
  <c r="N67" i="17"/>
  <c r="AH68" i="17" l="1"/>
  <c r="AG68" i="17" s="1"/>
  <c r="L67" i="17"/>
  <c r="AH67" i="17"/>
  <c r="AG67" i="17" s="1"/>
  <c r="L66" i="17"/>
  <c r="L68" i="17"/>
  <c r="L63" i="17"/>
  <c r="AH63" i="17"/>
  <c r="AG63" i="17" s="1"/>
  <c r="L65" i="17"/>
  <c r="AH65" i="17"/>
  <c r="AG65" i="17" s="1"/>
  <c r="V88" i="17"/>
  <c r="V87" i="17"/>
  <c r="V86" i="17"/>
  <c r="V85" i="17"/>
  <c r="V84" i="17"/>
  <c r="V83" i="17"/>
  <c r="V82" i="17"/>
  <c r="V81" i="17"/>
  <c r="V80" i="17"/>
  <c r="V79" i="17"/>
  <c r="V78" i="17"/>
  <c r="V77" i="17"/>
  <c r="V76" i="17"/>
  <c r="V75" i="17"/>
  <c r="V74" i="17"/>
  <c r="V73" i="17"/>
  <c r="V72" i="17"/>
  <c r="V71" i="17"/>
  <c r="V70" i="17"/>
  <c r="V69" i="17"/>
  <c r="V68" i="17"/>
  <c r="V67" i="17"/>
  <c r="V66" i="17"/>
  <c r="V65" i="17"/>
  <c r="V64" i="17"/>
  <c r="V63" i="17"/>
  <c r="V62" i="17"/>
  <c r="AH62" i="17"/>
  <c r="AG62" i="17" s="1"/>
  <c r="L64" i="17"/>
  <c r="AH64" i="17"/>
  <c r="AG64" i="17" s="1"/>
  <c r="L71" i="17"/>
  <c r="AH71" i="17"/>
  <c r="AG71" i="17" s="1"/>
  <c r="L62" i="17"/>
  <c r="L69" i="17"/>
  <c r="AF43" i="17" l="1"/>
  <c r="N44" i="17"/>
  <c r="N48" i="17"/>
  <c r="N52" i="17"/>
  <c r="AH52" i="17" s="1"/>
  <c r="AG52" i="17" s="1"/>
  <c r="N56" i="17"/>
  <c r="N60" i="17"/>
  <c r="AH60" i="17" s="1"/>
  <c r="AG60" i="17" s="1"/>
  <c r="N45" i="17"/>
  <c r="N49" i="17"/>
  <c r="N53" i="17"/>
  <c r="N57" i="17"/>
  <c r="AH57" i="17" s="1"/>
  <c r="AG57" i="17" s="1"/>
  <c r="N61" i="17"/>
  <c r="N46" i="17"/>
  <c r="AH46" i="17" s="1"/>
  <c r="AG46" i="17" s="1"/>
  <c r="N50" i="17"/>
  <c r="N54" i="17"/>
  <c r="AH54" i="17" s="1"/>
  <c r="AG54" i="17" s="1"/>
  <c r="N58" i="17"/>
  <c r="N43" i="17"/>
  <c r="V50" i="17" s="1"/>
  <c r="N47" i="17"/>
  <c r="AH47" i="17" s="1"/>
  <c r="AG47" i="17" s="1"/>
  <c r="N51" i="17"/>
  <c r="N55" i="17"/>
  <c r="AH55" i="17" s="1"/>
  <c r="AG55" i="17" s="1"/>
  <c r="N59" i="17"/>
  <c r="L52" i="17" l="1"/>
  <c r="L47" i="17"/>
  <c r="L49" i="17"/>
  <c r="L46" i="17"/>
  <c r="L51" i="17"/>
  <c r="AH51" i="17"/>
  <c r="AG51" i="17" s="1"/>
  <c r="V59" i="17"/>
  <c r="L50" i="17"/>
  <c r="AH50" i="17"/>
  <c r="AG50" i="17" s="1"/>
  <c r="L57" i="17"/>
  <c r="L56" i="17"/>
  <c r="AH56" i="17"/>
  <c r="AG56" i="17" s="1"/>
  <c r="L44" i="17"/>
  <c r="AH44" i="17"/>
  <c r="AG44" i="17" s="1"/>
  <c r="L48" i="17"/>
  <c r="AH48" i="17"/>
  <c r="AG48" i="17" s="1"/>
  <c r="L59" i="17"/>
  <c r="AH59" i="17"/>
  <c r="AG59" i="17" s="1"/>
  <c r="L55" i="17"/>
  <c r="L58" i="17"/>
  <c r="AH58" i="17"/>
  <c r="AG58" i="17" s="1"/>
  <c r="L45" i="17"/>
  <c r="AH45" i="17"/>
  <c r="AG45" i="17" s="1"/>
  <c r="V51" i="17"/>
  <c r="L54" i="17"/>
  <c r="L53" i="17"/>
  <c r="AH53" i="17"/>
  <c r="AG53" i="17" s="1"/>
  <c r="L60" i="17"/>
  <c r="L61" i="17"/>
  <c r="AH61" i="17"/>
  <c r="AG61" i="17" s="1"/>
  <c r="V47" i="17"/>
  <c r="V48" i="17"/>
  <c r="V54" i="17"/>
  <c r="V45" i="17"/>
  <c r="V57" i="17"/>
  <c r="V55" i="17"/>
  <c r="AH43" i="17"/>
  <c r="AG43" i="17" s="1"/>
  <c r="V52" i="17"/>
  <c r="L43" i="17"/>
  <c r="V44" i="17"/>
  <c r="V53" i="17"/>
  <c r="V56" i="17"/>
  <c r="V58" i="17"/>
  <c r="V49" i="17"/>
  <c r="V61" i="17"/>
  <c r="V60" i="17"/>
  <c r="V46" i="17"/>
  <c r="V43" i="17"/>
  <c r="S71" i="17"/>
  <c r="S68" i="17"/>
  <c r="S64" i="17"/>
  <c r="S87" i="17"/>
  <c r="S81" i="17"/>
  <c r="S47" i="17"/>
  <c r="S63" i="17"/>
  <c r="S83" i="17"/>
  <c r="S46" i="17"/>
  <c r="S78" i="17"/>
  <c r="S72" i="17"/>
  <c r="S58" i="17"/>
  <c r="S86" i="17"/>
  <c r="S62" i="17"/>
  <c r="S75" i="17"/>
  <c r="S43" i="17"/>
  <c r="S80" i="17"/>
  <c r="S76" i="17"/>
  <c r="S70" i="17"/>
  <c r="S54" i="17"/>
  <c r="S44" i="17"/>
  <c r="S59" i="17"/>
  <c r="S88" i="17"/>
  <c r="S60" i="17"/>
  <c r="S51" i="17"/>
  <c r="S53" i="17"/>
  <c r="S50" i="17"/>
  <c r="S67" i="17"/>
  <c r="S77" i="17"/>
  <c r="S45" i="17"/>
  <c r="S55" i="17"/>
  <c r="S65" i="17"/>
  <c r="S85" i="17"/>
  <c r="S49" i="17"/>
  <c r="S69" i="17"/>
  <c r="S84" i="17"/>
  <c r="S52" i="17"/>
  <c r="S66" i="17"/>
  <c r="S82" i="17"/>
  <c r="S79" i="17"/>
  <c r="S56" i="17"/>
  <c r="S73" i="17"/>
  <c r="S57" i="17"/>
  <c r="S74" i="17"/>
  <c r="S48" i="17"/>
  <c r="S61" i="17"/>
  <c r="S42" i="17"/>
  <c r="AF41" i="17"/>
  <c r="S41" i="17"/>
  <c r="N41" i="17"/>
  <c r="V42" i="17" l="1"/>
  <c r="V41" i="17"/>
  <c r="AH41" i="17"/>
  <c r="AG41" i="17" s="1"/>
  <c r="L41" i="17"/>
  <c r="T120" i="17"/>
  <c r="T119" i="17"/>
  <c r="AF117" i="17"/>
  <c r="T118" i="17"/>
  <c r="T117" i="17"/>
  <c r="N117" i="17"/>
  <c r="N239" i="17" s="1"/>
  <c r="L117" i="17" l="1"/>
  <c r="V118" i="17"/>
  <c r="AH117" i="17"/>
  <c r="AG117" i="17" s="1"/>
  <c r="V117" i="17"/>
  <c r="N132" i="17"/>
  <c r="S121" i="17"/>
  <c r="AF121" i="17"/>
  <c r="N122" i="17"/>
  <c r="N126" i="17"/>
  <c r="N130" i="17"/>
  <c r="N134" i="17"/>
  <c r="N138" i="17"/>
  <c r="N124" i="17"/>
  <c r="N129" i="17"/>
  <c r="N136" i="17"/>
  <c r="N123" i="17"/>
  <c r="N139" i="17"/>
  <c r="N128" i="17"/>
  <c r="N131" i="17"/>
  <c r="N135" i="17"/>
  <c r="N140" i="17"/>
  <c r="N121" i="17"/>
  <c r="N125" i="17"/>
  <c r="N133" i="17"/>
  <c r="N137" i="17"/>
  <c r="N141" i="17"/>
  <c r="V144" i="17" l="1"/>
  <c r="AH124" i="17"/>
  <c r="AG124" i="17" s="1"/>
  <c r="L133" i="17"/>
  <c r="AH133" i="17"/>
  <c r="AG133" i="17" s="1"/>
  <c r="L140" i="17"/>
  <c r="AH140" i="17"/>
  <c r="AG140" i="17" s="1"/>
  <c r="L139" i="17"/>
  <c r="AH139" i="17"/>
  <c r="AG139" i="17" s="1"/>
  <c r="L130" i="17"/>
  <c r="AH130" i="17"/>
  <c r="AG130" i="17" s="1"/>
  <c r="L121" i="17"/>
  <c r="V143" i="17"/>
  <c r="V142" i="17"/>
  <c r="V137" i="17"/>
  <c r="V134" i="17"/>
  <c r="V133" i="17"/>
  <c r="V132" i="17"/>
  <c r="V131" i="17"/>
  <c r="V130" i="17"/>
  <c r="V129" i="17"/>
  <c r="V127" i="17"/>
  <c r="V126" i="17"/>
  <c r="V125" i="17"/>
  <c r="V124" i="17"/>
  <c r="V123" i="17"/>
  <c r="V122" i="17"/>
  <c r="L136" i="17"/>
  <c r="AH136" i="17"/>
  <c r="AG136" i="17" s="1"/>
  <c r="V141" i="17"/>
  <c r="V140" i="17"/>
  <c r="V138" i="17"/>
  <c r="V136" i="17"/>
  <c r="L138" i="17"/>
  <c r="AH138" i="17"/>
  <c r="AG138" i="17" s="1"/>
  <c r="L122" i="17"/>
  <c r="AH122" i="17"/>
  <c r="AG122" i="17" s="1"/>
  <c r="L141" i="17"/>
  <c r="AH141" i="17"/>
  <c r="AG141" i="17" s="1"/>
  <c r="L131" i="17"/>
  <c r="AH131" i="17"/>
  <c r="AG131" i="17" s="1"/>
  <c r="L137" i="17"/>
  <c r="AH137" i="17"/>
  <c r="AG137" i="17" s="1"/>
  <c r="V121" i="17"/>
  <c r="L128" i="17"/>
  <c r="AH128" i="17"/>
  <c r="AG128" i="17" s="1"/>
  <c r="V139" i="17"/>
  <c r="V135" i="17"/>
  <c r="V128" i="17"/>
  <c r="L129" i="17"/>
  <c r="AH129" i="17"/>
  <c r="AG129" i="17" s="1"/>
  <c r="L134" i="17"/>
  <c r="AH134" i="17"/>
  <c r="AG134" i="17" s="1"/>
  <c r="L125" i="17"/>
  <c r="AH125" i="17"/>
  <c r="AG125" i="17" s="1"/>
  <c r="L135" i="17"/>
  <c r="AH135" i="17"/>
  <c r="AG135" i="17" s="1"/>
  <c r="L123" i="17"/>
  <c r="AH123" i="17"/>
  <c r="AG123" i="17" s="1"/>
  <c r="L124" i="17"/>
  <c r="L126" i="17"/>
  <c r="AH126" i="17"/>
  <c r="AG126" i="17" s="1"/>
  <c r="L132" i="17"/>
  <c r="AH132" i="17"/>
  <c r="AG132" i="17" s="1"/>
  <c r="AH121" i="17"/>
  <c r="AG121" i="17" s="1"/>
  <c r="N174" i="17" l="1"/>
  <c r="Q238" i="17"/>
  <c r="AH174" i="17" l="1"/>
  <c r="AG174" i="17" s="1"/>
  <c r="N177" i="17"/>
  <c r="N238" i="17" s="1"/>
  <c r="V174" i="17"/>
  <c r="V175" i="17"/>
  <c r="L174" i="17"/>
</calcChain>
</file>

<file path=xl/sharedStrings.xml><?xml version="1.0" encoding="utf-8"?>
<sst xmlns="http://schemas.openxmlformats.org/spreadsheetml/2006/main" count="4170" uniqueCount="824">
  <si>
    <t>Funcionamiento e Inversión</t>
  </si>
  <si>
    <t xml:space="preserve">VIGENCIA </t>
  </si>
  <si>
    <t>Modificaciones de Tipo Contractual</t>
  </si>
  <si>
    <t>Plan de Acción</t>
  </si>
  <si>
    <t>Fuente de los recursos</t>
  </si>
  <si>
    <t>Códigos UNSPSC</t>
  </si>
  <si>
    <t>Descripción</t>
  </si>
  <si>
    <t>Mes estimado de inicio de proceso de selección</t>
  </si>
  <si>
    <t>Mes estimado de presentación de ofertas</t>
  </si>
  <si>
    <t xml:space="preserve">Duración estimada del contrato </t>
  </si>
  <si>
    <t xml:space="preserve">Modalidad de selección </t>
  </si>
  <si>
    <t>Valor total estimado</t>
  </si>
  <si>
    <t>Valor estimado en la vigencia actual</t>
  </si>
  <si>
    <t>¿Se requieren vigencias futuras?</t>
  </si>
  <si>
    <t>Estado de solicitud de vigencias futuras</t>
  </si>
  <si>
    <t>Nombre del responsable</t>
  </si>
  <si>
    <t>Correo electrónico del responsable</t>
  </si>
  <si>
    <t>Aprobado por</t>
  </si>
  <si>
    <t>Fecha de Aprobación</t>
  </si>
  <si>
    <t>Firma</t>
  </si>
  <si>
    <t xml:space="preserve">MODIFICACIONES DE TIPO CONTRACTUAL </t>
  </si>
  <si>
    <t>Jefe Oficina Asesora de Planeación</t>
  </si>
  <si>
    <t>Profesional Encargado Secretaría General</t>
  </si>
  <si>
    <t>DEPENDENCIA</t>
  </si>
  <si>
    <t>GRUPO</t>
  </si>
  <si>
    <t xml:space="preserve">Número de fila según PAA </t>
  </si>
  <si>
    <t>N0</t>
  </si>
  <si>
    <t>PROYECTO INVERSIÓN O RUBRO FUNCIONAMIENTO</t>
  </si>
  <si>
    <t>OBJETO</t>
  </si>
  <si>
    <t xml:space="preserve">MODALIDAD </t>
  </si>
  <si>
    <t>CÓDIGO ADICIÓN</t>
  </si>
  <si>
    <t>TRASLADOS</t>
  </si>
  <si>
    <t>VALOR INICIAL</t>
  </si>
  <si>
    <t xml:space="preserve"> RECURSO 20</t>
  </si>
  <si>
    <t xml:space="preserve"> RECURSO 21</t>
  </si>
  <si>
    <t>VALOR FINAL</t>
  </si>
  <si>
    <t>PRODUCTO/RUBRO</t>
  </si>
  <si>
    <t>ACTIVIDAD DE LA CADENA DE VALOR</t>
  </si>
  <si>
    <t>JUSTIFICACIÓN</t>
  </si>
  <si>
    <t>N° OAP</t>
  </si>
  <si>
    <t>SOLICITUD</t>
  </si>
  <si>
    <t>Dependencia</t>
  </si>
  <si>
    <t>Grupo</t>
  </si>
  <si>
    <t>Producto/rubro</t>
  </si>
  <si>
    <t>Actividad de la cadena de valor</t>
  </si>
  <si>
    <t>Modalidad</t>
  </si>
  <si>
    <t>Tiempo estimado del contrato</t>
  </si>
  <si>
    <t>Valor mes</t>
  </si>
  <si>
    <t>N° Contratos</t>
  </si>
  <si>
    <t>'Recurso 11</t>
  </si>
  <si>
    <t>Recurso 20</t>
  </si>
  <si>
    <t>Recurso 21</t>
  </si>
  <si>
    <t>Disponible Proyecto
Recurso 11</t>
  </si>
  <si>
    <t>Disponible Proyecto
Recurso 20</t>
  </si>
  <si>
    <t>Disponible Proyecto
Recurso 21</t>
  </si>
  <si>
    <t>Disponible Actividad</t>
  </si>
  <si>
    <t>Código UNSPSC 
(cada código separado por;)</t>
  </si>
  <si>
    <t>Objeto contractual</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</si>
  <si>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</si>
  <si>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</si>
  <si>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</si>
  <si>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</si>
  <si>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</si>
  <si>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</si>
  <si>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Teléfono del responsable </t>
  </si>
  <si>
    <t xml:space="preserve">Correo electrónico del responsable </t>
  </si>
  <si>
    <t>Corresponde a la descripción del contrato</t>
  </si>
  <si>
    <t>OBJETO A CONTRATAR</t>
  </si>
  <si>
    <t>DESCRIPCION</t>
  </si>
  <si>
    <t>CONCEPTO</t>
  </si>
  <si>
    <t>Corresponde al código de PPTO asignado al inicio de la programación presupuestal</t>
  </si>
  <si>
    <t>Corresponde al nivel de gasto del decreto de liquidación del presupuesto.</t>
  </si>
  <si>
    <t>Corresponde a la partida presupuestal por objeto de gasto registrada en el  aplicativo SIIF del Ministero de Hacienda y Crédito Público</t>
  </si>
  <si>
    <t>ACTIVIDAD CADENA DE VALOR</t>
  </si>
  <si>
    <t>Corresponde a la estructura de desglose de trabajo de los proyecto de inversión</t>
  </si>
  <si>
    <t>MODALIDAD</t>
  </si>
  <si>
    <t>Corresponde al tipo de contratación. Debe revisarse las cuantías y procesos contractuales con la Oficina Asesora Jurídica.</t>
  </si>
  <si>
    <t>CODIGO PPTO</t>
  </si>
  <si>
    <t>Son los tipos de modificación disponibles en el formato: Crear, aumentar, reducir, adicionar (contrato).</t>
  </si>
  <si>
    <t>Hace referencia al tipo de operación presupuestal. Los recursos disponibles son aquellos programados en el Decreto de Liquidación del Presupuesto de la vigencia. Existe: Recurso 10,11,20 y 21.</t>
  </si>
  <si>
    <t>N°OAP</t>
  </si>
  <si>
    <t>Valor programado en el formato de reprogramación presupuestal</t>
  </si>
  <si>
    <t>Sumatoria valor inicial, más o menos valor trasladado.</t>
  </si>
  <si>
    <t>La establecida de acuerdo al organigrama institucional</t>
  </si>
  <si>
    <t>Esta hoja se debe diligenciar cuando: 
* La modificación presupuestal sugiere cambios de tipo contractual.
* No existe modificación presupuestal, pero sí, de tipo contractual.
Los campos a diligenciar, corresponden al Plan Anual de Adquisiciones (publicado en el aplicativo SECOP).</t>
  </si>
  <si>
    <t>Columna habilitada para procesos que requieren adición de tipo contractual</t>
  </si>
  <si>
    <t>Corresponde al consecutivo de la modificación presupuestal</t>
  </si>
  <si>
    <t>La necesidad o convenciencia de tramitar la solicitud</t>
  </si>
  <si>
    <t>RECURSO 11</t>
  </si>
  <si>
    <t>Secretaria General</t>
  </si>
  <si>
    <t>Validó</t>
  </si>
  <si>
    <t>Valido</t>
  </si>
  <si>
    <t>DESCRIPCIÓN</t>
  </si>
  <si>
    <t>CÓDIGO PPTO (PARA CDP)</t>
  </si>
  <si>
    <t>El establecido de acuerdo al organigrama institucional</t>
  </si>
  <si>
    <t>Rubro presupuestal</t>
  </si>
  <si>
    <t>RUBRO PRESUPUESTAL</t>
  </si>
  <si>
    <t>Para inversión: Incluye programa, sub- programa, proyecto y la codificación del producto.
Para funcionamiento: Incluye la desagregación del presupuesto a nivel de cuenta.</t>
  </si>
  <si>
    <t>PROGRAMACIÓN VIGENCIA (HOJA N°2)</t>
  </si>
  <si>
    <t>REPROGRAMACIONES (HOJA N°3 Y N°4)</t>
  </si>
  <si>
    <t>Hoja 4: Reprogramación contractual</t>
  </si>
  <si>
    <t>TIEMPO ESTIMADO DEL CONTRATO</t>
  </si>
  <si>
    <t>VALOR MENSUAL</t>
  </si>
  <si>
    <t>CONTRATOS</t>
  </si>
  <si>
    <t>VALOR TOTAL ESTIMADO</t>
  </si>
  <si>
    <t>Recurso 10</t>
  </si>
  <si>
    <t>SOLICITADO-RECURSO 10-
SOLICITADO-RECURSO 11-
SOLICITADO-RECURSO 20-
SOLICITADO-RECURSO 21-</t>
  </si>
  <si>
    <t>Corresponde a la suma de valor solicitado (por recurso 10,11, 20 y 21). Asimismo,  es el resultado de la multiplicación del número de contratos por el valor mensual.</t>
  </si>
  <si>
    <t>Es la fuente de recursos requerida para adelantar un objeto contractual. 
En el caso de inversión: Los gerentes de proyecto deben validar las columnas del solicitado con las del disponible (por recurso y actividad).</t>
  </si>
  <si>
    <t>Corresponde al código único de la obra, adquisición o servicio. Este debe relacionarse en el certificado de disponibilidad presupuestal (CDP) para el control y seguimiento por parte de la Oficina Asesora de Planeación (OAP).</t>
  </si>
  <si>
    <t>RECURSO 10</t>
  </si>
  <si>
    <t>DISPONIBLE-RECURSO 10-
DISPONIBLE-RECURSO 11-
DISPONIBLE-RECURSO 20-
DISPONIBLE-RECURSO 21-
DISPONIBLE -ACTIVIDAD</t>
  </si>
  <si>
    <t>JUSTIFICACIÓN DE LA NECESIDAD</t>
  </si>
  <si>
    <t>Corresponde a los cupos de gasto de inversión pre- cargados por la OAP. Cabe resaltar que, el disponible actividad valida el valor solicitado por recurso  frente al valor autorizado en la cadena de valor del proyecto.</t>
  </si>
  <si>
    <t>La que irá en el estudio previo (máximo 500 caracteres).  Es importante que, los gerentes de proyecto mencionen los entregables o productos esperados (en armonía con la cadena de valor y el plan estratégico).</t>
  </si>
  <si>
    <t xml:space="preserve">CÓDIGO UNSPSC </t>
  </si>
  <si>
    <t>Duración en meses de la obra, adquisición o servicio.</t>
  </si>
  <si>
    <t>Corresponde a la descripción del contrato.</t>
  </si>
  <si>
    <t>Para inversión: Son las partidas de gasto (actividades) autorizadas por producto de la cadena de valor.
Para funcionamiento: No aplica.</t>
  </si>
  <si>
    <t>Contratos requeridos para adelantar el objeto contractual.</t>
  </si>
  <si>
    <t>Valor mes proyectado a 30 días calendario.</t>
  </si>
  <si>
    <t> Código Estándar de Productos y Servicios de Naciones Unidas (The United Nations Standard Products and Services Code)</t>
  </si>
  <si>
    <t>OBJETO CONTRACTUAL</t>
  </si>
  <si>
    <t>FECHA ESTIMADA DE INICIO DE PROCESO DE SELECCIÓN</t>
  </si>
  <si>
    <t>FECHA ESTIMADA DE PRESENTACIÓN DE OFERTAS (MES)</t>
  </si>
  <si>
    <t>De acuerdo al proceso de selección.</t>
  </si>
  <si>
    <t>DURACIÓN ESTIMADA DEL CONTRATO (NÚMERO)</t>
  </si>
  <si>
    <t>DURACIÓN ESTIMADA DEL CONTRATO
(INTERVALO: DÍAS, MESES, AÑOS)</t>
  </si>
  <si>
    <t>Ya se solicitó en el formato, por lo que el campo está formulado.</t>
  </si>
  <si>
    <t>Ya se solicitó en el formato, por lo queel campo está formulado.</t>
  </si>
  <si>
    <t>FUENTE DE LOS RECURSOS</t>
  </si>
  <si>
    <t>Corresponde al porcentaje de participación de recursos nación y propios.</t>
  </si>
  <si>
    <t>VALOR ESTIMADO</t>
  </si>
  <si>
    <t>Ya se solicitó en el formato, por lo que el campo está formulado.
Nota: El valor puede variar, si se trata de una vigencia futura.</t>
  </si>
  <si>
    <t>VALOR ESTIMADO EN LA VIGENCIA ACTUAL</t>
  </si>
  <si>
    <t>Se formula a partir del valor estimado</t>
  </si>
  <si>
    <t>SE REQUIEREN VIGENCIAS FUTURAS</t>
  </si>
  <si>
    <t>Se debe elegir de la lista desplegable, las opciones: Sí o no.</t>
  </si>
  <si>
    <t>ESTADO DE SOLICITUD DE VIGENCIAS FUTURAS</t>
  </si>
  <si>
    <t>Se debe elegir de la lista desplegable, las opciones: Aprobadas, no aplica, solicitadas, no solicitadas.</t>
  </si>
  <si>
    <t>UNIDAD DE CONTRATACIÓN (REFERENCIA)</t>
  </si>
  <si>
    <t>UBICACIÓN</t>
  </si>
  <si>
    <t>NOMBRE DEL RESPONSABLE</t>
  </si>
  <si>
    <t>TELEFONO DEL RESPONSABLE</t>
  </si>
  <si>
    <t>CORREO ELECTRÓNICO DEL RESPONSABLE</t>
  </si>
  <si>
    <t>Gerente del proyecto o responsable del rubro de funcionamiento.</t>
  </si>
  <si>
    <t>De acuerdo al directorio.</t>
  </si>
  <si>
    <t>Hace referencia al correo oficial.</t>
  </si>
  <si>
    <t>La sede en la que se ejecuta el contrato. Para los proyectos que son regionalizables, está información debe corresponder a la suministrada por la cadena de valor.</t>
  </si>
  <si>
    <t>GASTO</t>
  </si>
  <si>
    <t>PROYECTO</t>
  </si>
  <si>
    <t>COD PROYECTO</t>
  </si>
  <si>
    <t>PRODUCTO</t>
  </si>
  <si>
    <t>COD PRODUCTO</t>
  </si>
  <si>
    <t>ACTIVIDAD</t>
  </si>
  <si>
    <t>Oficina Asesora Jurídica</t>
  </si>
  <si>
    <t>Oficina de Control Interno</t>
  </si>
  <si>
    <t>Inversión</t>
  </si>
  <si>
    <t>Concurso de méritos</t>
  </si>
  <si>
    <t>Oficina Asesora de Planeación</t>
  </si>
  <si>
    <t>Funcionamiento</t>
  </si>
  <si>
    <t>Contratación directa</t>
  </si>
  <si>
    <t>Contratación directa (con ofertas)</t>
  </si>
  <si>
    <t>Secretaría General</t>
  </si>
  <si>
    <t>Licitación pública</t>
  </si>
  <si>
    <t>Grupo de Archivo y Gestión Documental</t>
  </si>
  <si>
    <t>Servicio de vigilancia y control archivístico</t>
  </si>
  <si>
    <t>Mínima cuantía</t>
  </si>
  <si>
    <t>Grupo de Gestión Humana</t>
  </si>
  <si>
    <t>Selección abreviada -Acuerdo Marco</t>
  </si>
  <si>
    <t>Adquisición de bienes y servicios</t>
  </si>
  <si>
    <t>Selección abreviada de menor cuantía</t>
  </si>
  <si>
    <t>Servicio de información del patrimonio documental archivístico</t>
  </si>
  <si>
    <t>Selección abreviada subasta inversa</t>
  </si>
  <si>
    <t>Grupo de Gestión Financiera</t>
  </si>
  <si>
    <t>Dirección General</t>
  </si>
  <si>
    <t>Documentos de planeación</t>
  </si>
  <si>
    <t>Servicios de información actualizados</t>
  </si>
  <si>
    <t>Sedes mantenidas</t>
  </si>
  <si>
    <t>Servicio de gestión de documentos del Estado</t>
  </si>
  <si>
    <t>Definir estrategias para la divulgación y acceso al patrimonio histórico documental</t>
  </si>
  <si>
    <t>Generar acciones para la recuperación, restauración y conservación del patrimonio documental de la nación</t>
  </si>
  <si>
    <t>Ejecutar procesos de organización, descripción y de reprografía a los fondos documentales históricos del AGN</t>
  </si>
  <si>
    <t>Gestionar las transferencias documentales</t>
  </si>
  <si>
    <t>Generar estrategias para el mejoramiento del índice de desempeño institucional</t>
  </si>
  <si>
    <t>Articular la operación por procesos de acuerdo con los requisitos de MIPG</t>
  </si>
  <si>
    <t>Adquirir arquitecturas tecnológicas de software y hardware</t>
  </si>
  <si>
    <t>Mantener la operación de la infraestructura tecnológica, sistemas de informacion, bases de datos y licenciamiento</t>
  </si>
  <si>
    <t>Mantener las capacidades y soporte de los servicios</t>
  </si>
  <si>
    <t>Intervenir la infraestructura física y los sistemas que la conforman</t>
  </si>
  <si>
    <t xml:space="preserve">Dotar espacios físicos para el fortalecimiento institucional </t>
  </si>
  <si>
    <t>Cod. Producto</t>
  </si>
  <si>
    <t>Objeto</t>
  </si>
  <si>
    <t>Proyecto de inversión o rubro de funcionamiento</t>
  </si>
  <si>
    <t>Justificación de la necesidad (Máximo 500 caracteres)</t>
  </si>
  <si>
    <t>Ya se encuentra formulado.</t>
  </si>
  <si>
    <t xml:space="preserve">Corresponde al intervalo de tiempo (días, meses, años). </t>
  </si>
  <si>
    <t xml:space="preserve">Se proyecta a partir de días, meses o años . No obstante, el formato está estandarizado en meses. 
Esta información viene de la columna "tiempo estimado del contrato". 
Un contrato puede superar los  11 meses, si se trata de una vigencia futura.
</t>
  </si>
  <si>
    <t>No aplica</t>
  </si>
  <si>
    <t>A_02</t>
  </si>
  <si>
    <r>
      <t xml:space="preserve">Código PPTO </t>
    </r>
    <r>
      <rPr>
        <b/>
        <sz val="11"/>
        <color rgb="FF002060"/>
        <rFont val="Arial Narrow"/>
        <family val="2"/>
      </rPr>
      <t>(Para CDP)</t>
    </r>
  </si>
  <si>
    <t>Código proyecto</t>
  </si>
  <si>
    <t>Justificación de la modificación</t>
  </si>
  <si>
    <t>PROY1</t>
  </si>
  <si>
    <t>PROY2</t>
  </si>
  <si>
    <t>Grupo de Servicios Administrativos</t>
  </si>
  <si>
    <t>Grupo de Tecnologías de la Información</t>
  </si>
  <si>
    <t>Grupo de Atención y Servicio al Ciudadano</t>
  </si>
  <si>
    <t>Subdirección de Política y Normativa Archivistica</t>
  </si>
  <si>
    <t>Subdirección de Gestión el Patrimonio Documental</t>
  </si>
  <si>
    <t xml:space="preserve">Grupo de Conservación y Restauración </t>
  </si>
  <si>
    <t>Grupo de Investigación y Difusión</t>
  </si>
  <si>
    <t>Grupo de Organización y Reprografía</t>
  </si>
  <si>
    <t>Subdirección de Transformación Digital e Innovación Archivistica</t>
  </si>
  <si>
    <t>Subdirección de Archivos de Entidades Liquidadas</t>
  </si>
  <si>
    <t>Subdirección del Sistema Nacional de Archivos</t>
  </si>
  <si>
    <t>Subdirección de Mercadeo y Operaciones de Servicios Archivisticos</t>
  </si>
  <si>
    <t>Subdirección Inspección, Vigilancia y Control</t>
  </si>
  <si>
    <t>Observación</t>
  </si>
  <si>
    <t>OBSERVACIÓN</t>
  </si>
  <si>
    <t xml:space="preserve">Señalar si la linea se unifica con otra para publicar en un solo proceso en SECOP 2.
Señalar si se excluye del SECOP.
Indicar cualquier observación adicional referente al proceso. </t>
  </si>
  <si>
    <t>Proyecto</t>
  </si>
  <si>
    <t>RECURSO 20</t>
  </si>
  <si>
    <t>RECURSO 21</t>
  </si>
  <si>
    <t>Fortalecimiento de la planeación y gestión institucional en el Archivo General de la Nación</t>
  </si>
  <si>
    <t>Fortalecimiento de la Política de Archivos y Gestión Documental para la transparencia y el acceso a la información pública  Nacional</t>
  </si>
  <si>
    <t>Documentos Investigación</t>
  </si>
  <si>
    <t>Documentos de lineamientos técnicos</t>
  </si>
  <si>
    <t>Servicio de gestión documental a entidades públicas y privadas del orden nacional y/o territorial </t>
  </si>
  <si>
    <t xml:space="preserve">Servicio de desarrollo tecnológico e innovación de archivos electrónicos </t>
  </si>
  <si>
    <t>Documento con los resultados de las validaciones</t>
  </si>
  <si>
    <t>Divulgación</t>
  </si>
  <si>
    <t>Generar acciones de inspección, vigilancia y control</t>
  </si>
  <si>
    <t>Generar acciones de seguimiento de los Planes de Mejoramiento Archivístico</t>
  </si>
  <si>
    <t xml:space="preserve"> Atender y resolver las peticiones y solicitudes de exfuncionarios de las entidades liquidadas y partes interesadas.</t>
  </si>
  <si>
    <t>Caracterizar los archivos de las entidades liquidadas que custodia el AGN, verificando su carácter de archivos de Derechos Humanos.</t>
  </si>
  <si>
    <t>Desarrollar estrategias para la gestión de proyectos de archivo.</t>
  </si>
  <si>
    <t>Fortalecer los procesos de de gestión de proyectos de archivo</t>
  </si>
  <si>
    <t>Generar acciones y estrategias de innovación que faciliten el proceso de transformación y modernización de los archivos.</t>
  </si>
  <si>
    <t>Desarrollar herramientas tecnológicas y aplicativos que contribuyan al acceso del patrimonio y a la gestión documental electrónica</t>
  </si>
  <si>
    <t>Producto</t>
  </si>
  <si>
    <t>Actividad</t>
  </si>
  <si>
    <t>Valor actividad</t>
  </si>
  <si>
    <t>Fortalecimiento de la Política de Archivos y Gestión Documental para la transparencia y el acceso a la información pública Nacional</t>
  </si>
  <si>
    <t>Documentos Investigación - Subdirección del Sistema Nacional de Archivos</t>
  </si>
  <si>
    <t>Documentos de lineamientos técnicos (Producto principal del proyecto) - Subdirección de Política Normativa y Archivistica</t>
  </si>
  <si>
    <t>Servicio de vigilancia y control archivístico - Subdirección de Inspección, Vigilancia y Control</t>
  </si>
  <si>
    <t>Servicio de gestión de documentos del Estado - Subdirección de Archivos de Entidades Liquidadas</t>
  </si>
  <si>
    <t>Servicio de gestión documental a entidades públicas y privadas del orden nacional y/o territorial - Subdirección de Mercadeo y Operación de Servicios Archivísticos </t>
  </si>
  <si>
    <t>Servicio de desarrollo tecnológico e innovación de archivos electrónicos - Subdirección de Transformación Digital e Innovación Archivística</t>
  </si>
  <si>
    <t>Servicio de información del patrimonio documental archivístico - Subdirección de Patrimonio</t>
  </si>
  <si>
    <t>Implementar las acciones y procesos para el desarrollo y administración de la función archivistica del Archivo General de la Nación.</t>
  </si>
  <si>
    <t>SPA1</t>
  </si>
  <si>
    <t>SPA2</t>
  </si>
  <si>
    <t>SPA3</t>
  </si>
  <si>
    <t>Servicios de gastos y desplazamientos en desarrollo de los programas previstos para fortalecer la política de archivos y gestión documental. SPA 4</t>
  </si>
  <si>
    <t>SPA4</t>
  </si>
  <si>
    <t>SPA5</t>
  </si>
  <si>
    <t>SPA6</t>
  </si>
  <si>
    <t>SPA7</t>
  </si>
  <si>
    <t>SPA8</t>
  </si>
  <si>
    <t>SNA1</t>
  </si>
  <si>
    <t>SNA2</t>
  </si>
  <si>
    <t>SNA3</t>
  </si>
  <si>
    <t>SNA4</t>
  </si>
  <si>
    <t>SNA5</t>
  </si>
  <si>
    <t>SNA6</t>
  </si>
  <si>
    <t>SNA7</t>
  </si>
  <si>
    <t>SNA8</t>
  </si>
  <si>
    <t>SNA9</t>
  </si>
  <si>
    <t>SNA10</t>
  </si>
  <si>
    <t>MESES</t>
  </si>
  <si>
    <t>NO</t>
  </si>
  <si>
    <t>No Aplica</t>
  </si>
  <si>
    <t>PROCESO DE GESTIÓN CONTRACTUAL</t>
  </si>
  <si>
    <t>Bogotá</t>
  </si>
  <si>
    <t>gloribel.rodriguez@archivogeneral.gov.co</t>
  </si>
  <si>
    <t>MARZO</t>
  </si>
  <si>
    <t>FEBRERO</t>
  </si>
  <si>
    <t>ABRIL</t>
  </si>
  <si>
    <t>JUNIO</t>
  </si>
  <si>
    <t>Elaboración informes técnicos para la validación de resultados en los procesos de evaluación de la Función Archivística, en desarrollo de los planes y programas de la subdirección. SPA 1</t>
  </si>
  <si>
    <t>Elaboración de informes técnicos en materia de regulación de políticas públicas y en desarrollo de los planes y programas de la subdirección.  SPA 2</t>
  </si>
  <si>
    <t>Elaboración informes técnicos para la validación de resultados en los procesos de evaluación de la Función Archivística, en desarrollo de los planes y programas de la subdirección. SPA 3</t>
  </si>
  <si>
    <t>Prestación de servicios profesionales para formular documentos técnicos en desarrollo de las líneas de investigación del Observatorio.  SPA 6</t>
  </si>
  <si>
    <t>Prestación de servicios profesionales para la revisión de datos y elaboración de informes, que contribuyan con el monitoreo y evaluación de la Política de Archivos y Gestión Documental. SPA 7</t>
  </si>
  <si>
    <t>Prestación de servicios profesionales para implementar la estrategia de divulgación del observatorio, a través de la  elaboración de textos y material visual que deba ser promocionado en articulación con las áreas de comunicaciones.  SPA 8</t>
  </si>
  <si>
    <t>Prestación de servicios profesionales para georreferenciar datos específicos en el Observatorio del AGN.  SPA 9</t>
  </si>
  <si>
    <t>Prestación de servicios profesionales para implementar nuevas funcionalidades al Observatorio que facilite el acceso a los grupos de valor. SPA 10</t>
  </si>
  <si>
    <t>SPA9</t>
  </si>
  <si>
    <t>SPA10</t>
  </si>
  <si>
    <t>80111620</t>
  </si>
  <si>
    <t>ENERO</t>
  </si>
  <si>
    <t>AGOSTO</t>
  </si>
  <si>
    <t>SEPTIEMBRE</t>
  </si>
  <si>
    <t>SE EXCLUYE DE SECOP</t>
  </si>
  <si>
    <t>UNIFICAR TIQUETES</t>
  </si>
  <si>
    <t>OCTUBRE</t>
  </si>
  <si>
    <t>JULIO</t>
  </si>
  <si>
    <t>STI 1</t>
  </si>
  <si>
    <t>STI 2</t>
  </si>
  <si>
    <t>STI 3</t>
  </si>
  <si>
    <t>STI 4</t>
  </si>
  <si>
    <t>STI 5</t>
  </si>
  <si>
    <t>STI 6</t>
  </si>
  <si>
    <t>STI 7</t>
  </si>
  <si>
    <t>Contratar el servicio de consultoria para definir el sistema de preservación digital dell AGN - STI1</t>
  </si>
  <si>
    <t xml:space="preserve">80101600;72153613;80131500; 80111601;80111702;80101504;80101603;80101604;93151500
</t>
  </si>
  <si>
    <t>Adela del Pilar Diaz Acuña</t>
  </si>
  <si>
    <t>adela.diaz@archivogeneral.gov.co</t>
  </si>
  <si>
    <t>SEL01</t>
  </si>
  <si>
    <t>SEL02</t>
  </si>
  <si>
    <t>SEL03</t>
  </si>
  <si>
    <t>SEL04</t>
  </si>
  <si>
    <t>SEL05</t>
  </si>
  <si>
    <t>SEL06</t>
  </si>
  <si>
    <t>SEL07</t>
  </si>
  <si>
    <t xml:space="preserve">Prestación de Servicios Profesionales para analizar administrativa, contable y financieramente las PQRSD de las entidadades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</si>
  <si>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</si>
  <si>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</si>
  <si>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de abogado para apoyar la gestión jurídica y contractual del Archivo General de la Nación. SEL04</t>
  </si>
  <si>
    <t>Compra de Papelería, útiles de escritorio para el Archivo General de la Nación Jorge Palacios Preciado; de conformidad con las especificaciones contempladas en la ficha técnica. SEL05</t>
  </si>
  <si>
    <t>Adquirir tonner. SEL06</t>
  </si>
  <si>
    <t xml:space="preserve">Gloribel Lucia Rodriguez Carrasco </t>
  </si>
  <si>
    <t>NA</t>
  </si>
  <si>
    <t>Pago de energia</t>
  </si>
  <si>
    <t>GTH1</t>
  </si>
  <si>
    <t>Apoyos educativos para los funcionarios del AGN</t>
  </si>
  <si>
    <t>Honorarios Consejo Directivo</t>
  </si>
  <si>
    <t>Servicio de aseo y alcantarillado</t>
  </si>
  <si>
    <t>Caja menor</t>
  </si>
  <si>
    <t>Administración de la Sede Funza</t>
  </si>
  <si>
    <t>A-02-02-02008-002</t>
  </si>
  <si>
    <t>Pago de intternet y telefonia</t>
  </si>
  <si>
    <t>Servicios de GPS de vehiculos</t>
  </si>
  <si>
    <t>contratacion directa</t>
  </si>
  <si>
    <t>GAGD1</t>
  </si>
  <si>
    <t>A-02-02-02-006-008</t>
  </si>
  <si>
    <t>Prestar el Servicio de Distribución de Mensajería y Paquetería Certificada a nivel urbano, departamental, nacional y trayecto especial, así como, Correo Electrónico Certificado, que requiera el Archivo General de la Nación Jorge Palacios Preciado.</t>
  </si>
  <si>
    <t>Prestar los servicios profesionales para desarrollar el Plan Anual de Trabajo y las actividades establecidas para el Sistema de Gestión de Seguridad y Salud en el Trabajo- SG SST para la vigencia 2024</t>
  </si>
  <si>
    <t>78102200;78102201;78102202;78102203;78102204;78102205;78102206</t>
  </si>
  <si>
    <t>Damaris Sanchez Rubiano</t>
  </si>
  <si>
    <t>damaris.sanchez@archivogeneral.gov.co</t>
  </si>
  <si>
    <t>NA- VF</t>
  </si>
  <si>
    <t>A-02-02-01-003-003</t>
  </si>
  <si>
    <t>Contratar el suministro de combustibles (Gasolina, diésel ó ACPM) para los vehículos y plantas eléctricas propiedad del AGN</t>
  </si>
  <si>
    <t>Vigencia Futura- 2026</t>
  </si>
  <si>
    <t>Contratar el suministro de combustible (Gasolina, diésel o ACPM) para los vehículos y plantas eléctricas 
propiedad del AGN.</t>
  </si>
  <si>
    <t>NA- VF
OC 119708 2023
Vigencia futura 2026</t>
  </si>
  <si>
    <t xml:space="preserve">15101505;
15101506	</t>
  </si>
  <si>
    <t>SI</t>
  </si>
  <si>
    <t>Aprobadas</t>
  </si>
  <si>
    <t>Yennyfer Jazmin Bayona Bayona</t>
  </si>
  <si>
    <t>yennyfer.bayona@archivogeneral.gov.co</t>
  </si>
  <si>
    <t>Contratar los servicios de seguros de los bienes de la entidad- julio 2026</t>
  </si>
  <si>
    <t>Contratar los seguros que amparen  los intereses patrimoniales actuales  y futuros, así como los bienes de  propiedad del archivo general de la nación AGN, que estén bajo su responsabilidad y custodia y aquellos que sean adquiridos para desarrollar las funciones inherentes a su actividad, así como la expedición de cualquier otra póliza de seguros que requiera la entidad en el desarrollo de su actividad</t>
  </si>
  <si>
    <t>NA- VF
CTO 429-2022
Vigencia futura 2026</t>
  </si>
  <si>
    <t xml:space="preserve">84131500
84131600	</t>
  </si>
  <si>
    <t>Licitación Pública</t>
  </si>
  <si>
    <t xml:space="preserve">A-02-02-02-008-005 </t>
  </si>
  <si>
    <t>Servicio de Vigilancia de las Sedes del AGN</t>
  </si>
  <si>
    <t>Contratar la sociedad comisionista miembros de bolsa, que celebrará en el mercado de compras públicas de la bolsa mercantil de Colombia SA la negociación o negociaciones necesarias para la adquisición del servicio de vigilancia y seguridad privada para las instalaciones del Archivo General de la Nación Jorge Palacios Preciado.</t>
  </si>
  <si>
    <t>NA- VF
CTO 455-2023
Vigencia futura 2026</t>
  </si>
  <si>
    <t>92121504; 92121701; 92121702</t>
  </si>
  <si>
    <t>Procedimiento para Publicidad - Régimen especial</t>
  </si>
  <si>
    <t>GSA1</t>
  </si>
  <si>
    <t>Servicos de aseo de las sedes del AGN</t>
  </si>
  <si>
    <t>Vigencia Futura- Agosto 2024</t>
  </si>
  <si>
    <t>Prestación servicio integral de Aseo, cafetería y jardinería para las instalaciones del AGN</t>
  </si>
  <si>
    <t xml:space="preserve">
Vigencia futura 2024</t>
  </si>
  <si>
    <t>47121800;47131700;761115;901017</t>
  </si>
  <si>
    <t>Selección abreviada - acuerdo marco</t>
  </si>
  <si>
    <t>GSA2</t>
  </si>
  <si>
    <t>Servicio de recolección transporte y disposición final de los residuos peligrosos generados por el AGN</t>
  </si>
  <si>
    <t>Minima cuantia</t>
  </si>
  <si>
    <t>GSA3</t>
  </si>
  <si>
    <t>Servicio de seguro obligatorio contra ccidentes de transito (SOAT)</t>
  </si>
  <si>
    <t>SERVICIOS DE SEGURO OBLIGATORIO DE ACCIDENTES DE TRÁNSITO (SOAT)</t>
  </si>
  <si>
    <t>GSA4</t>
  </si>
  <si>
    <t xml:space="preserve">Contratar el seguro todo riesgo para los vehículos propiedad del Archivo General de la Nación. </t>
  </si>
  <si>
    <t>GSA5</t>
  </si>
  <si>
    <t>A-02-02-02-008-007</t>
  </si>
  <si>
    <t>Mantenimiento de vehiculos del AGN</t>
  </si>
  <si>
    <t>Menor Cuantia</t>
  </si>
  <si>
    <t>MANTENIMIENTO DE VEHICULOS DEL AGN</t>
  </si>
  <si>
    <t>78181505; 78181507</t>
  </si>
  <si>
    <t>GSA6</t>
  </si>
  <si>
    <t>A-02-02</t>
  </si>
  <si>
    <t>Compra de papelería, utiles de escritorio para el Archivo General de la Nación Jorge Palacios Preciado</t>
  </si>
  <si>
    <t>14111530; 14111537; 32101622; 41111604; 
42151910; 44121618; 44121636; 44121708; 44122101; 55121606;
60105704; 11161701</t>
  </si>
  <si>
    <t>GTH2</t>
  </si>
  <si>
    <t>A-02-02-02-009-007</t>
  </si>
  <si>
    <t>Desarrollar las actividades de Bienestar Social de la vigencia 2023</t>
  </si>
  <si>
    <t xml:space="preserve">Contratación directa </t>
  </si>
  <si>
    <t>93141506</t>
  </si>
  <si>
    <t>Nación</t>
  </si>
  <si>
    <t xml:space="preserve">Daniel Alberto Carvajal Gutierrez </t>
  </si>
  <si>
    <t>daniel.carvajal@archivogeneral.gov.co</t>
  </si>
  <si>
    <t>GTH3</t>
  </si>
  <si>
    <t>A-02-02-02-009-002</t>
  </si>
  <si>
    <t>Desarrolar actividades de capacitación que sean requeridas en la vigencia 2023</t>
  </si>
  <si>
    <t>86101802;86101808</t>
  </si>
  <si>
    <t>MAYO</t>
  </si>
  <si>
    <t>GTH4</t>
  </si>
  <si>
    <t>Efectuar la toma de examenes ocupacionales de ingreso, retiro y periodicos bajo los leneamientos del profesiograma vigente de la Entidad, así como llevar a cabo evaluaciones de puesto de trabajo y evaluaciones psicométricas que sean requeridas por la Entidad</t>
  </si>
  <si>
    <t>93141808</t>
  </si>
  <si>
    <t>GTH5</t>
  </si>
  <si>
    <t>A-02-02-01-002-008</t>
  </si>
  <si>
    <t xml:space="preserve">Entregar la Dotación de Ley de los funcionarios de la Entidad </t>
  </si>
  <si>
    <t>53101900;53101600;53111600;53102700;46181500</t>
  </si>
  <si>
    <t>GTH6</t>
  </si>
  <si>
    <t>Efectuar mantenimiento preventivo, recarga  de extintores y compra de extintores ABC</t>
  </si>
  <si>
    <t>46191601;46191618;46191621</t>
  </si>
  <si>
    <t>GTH7</t>
  </si>
  <si>
    <t>80111601;80111600;93151504</t>
  </si>
  <si>
    <t>Funza</t>
  </si>
  <si>
    <t>GTH8</t>
  </si>
  <si>
    <t>A-02-02-008-002</t>
  </si>
  <si>
    <t>Prestación de servicios profesionales para la elaboración, liquidación y cargue de la nomina.</t>
  </si>
  <si>
    <t>81111500;81111800</t>
  </si>
  <si>
    <t>SG1</t>
  </si>
  <si>
    <t>Prestacion de servicios profesionales para apoyar la revisión de los procesos contractuales y juridicos a cargo de la secretaria general del Archivo Generald e la Nación para la vigencia 2024</t>
  </si>
  <si>
    <t>Prestación de servicios profesionales para apoyo jurídico y contractual en el Archivo General de la Nación, para dar cumplimiento a las actividades propias de la ordenación del gasto y de la actividad contractual</t>
  </si>
  <si>
    <t>80111601;80111701</t>
  </si>
  <si>
    <t>Andrea Paola Prieto Mosquera</t>
  </si>
  <si>
    <t>andrea.prieto@archiovogeneral.gov.co</t>
  </si>
  <si>
    <t>SG2</t>
  </si>
  <si>
    <t>Prestacion de servicios profesionales para  la revisión y estructuración de los procesos contractuales  a cargo de la secretaria general del Archivo Generald e la Nación para la vigencia 2024</t>
  </si>
  <si>
    <t>SG3</t>
  </si>
  <si>
    <t>Prestacion de servicios profesionales</t>
  </si>
  <si>
    <t>SMO_01</t>
  </si>
  <si>
    <t>SMO_02</t>
  </si>
  <si>
    <t>SMO_03</t>
  </si>
  <si>
    <t>SMO_04</t>
  </si>
  <si>
    <t>SMO_06</t>
  </si>
  <si>
    <t>SMO_07</t>
  </si>
  <si>
    <t>SMO_08</t>
  </si>
  <si>
    <t>SMO_09</t>
  </si>
  <si>
    <t>SMO_10</t>
  </si>
  <si>
    <t>SMO_11</t>
  </si>
  <si>
    <t>SMO_12</t>
  </si>
  <si>
    <t>SMO_13</t>
  </si>
  <si>
    <t>SMO_14</t>
  </si>
  <si>
    <t>SMO_15</t>
  </si>
  <si>
    <t>SMO_16</t>
  </si>
  <si>
    <t xml:space="preserve"> SMO_18</t>
  </si>
  <si>
    <t>SMO_19</t>
  </si>
  <si>
    <t>SMO_20</t>
  </si>
  <si>
    <t>SMO_21</t>
  </si>
  <si>
    <t>SMO_22</t>
  </si>
  <si>
    <t>SMO_23</t>
  </si>
  <si>
    <t>SMO_24</t>
  </si>
  <si>
    <t>SMO_25</t>
  </si>
  <si>
    <t>SMO_26</t>
  </si>
  <si>
    <t xml:space="preserve">UNIFICAR TIQUETES </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</si>
  <si>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</si>
  <si>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</si>
  <si>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</si>
  <si>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</si>
  <si>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desarollar actividades relacionadas con el sistema  integrado de conservacion (SIC), restauración y monitoreo de condiciones ambientales en las sedes del Archivo General de la Nación. AGN _06</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</si>
  <si>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</si>
  <si>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</si>
  <si>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</si>
  <si>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</si>
  <si>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Prestación de servicios profesionales para elaborar, adecuar, actualizar según se requiera la herramienta-aplicativo empleada para realizar el seguimiento a la producción diaria y a la herramienta utilizada para la recolección de datos para el servicio de diagnóstico integral del archivo, en el marco de los contratos interadministrativos suscritos por venta de servicios adelantados por la Subdirección de Mercadeo y Operación de Servicios Archivísticos. SMO_11</t>
  </si>
  <si>
    <t>Contratar los servicios técnicos para la operación de la mesa de servicios en la solución de requerimiento e incidentes. SMO_12</t>
  </si>
  <si>
    <t>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 SMO_13</t>
  </si>
  <si>
    <t>Adquisición de insumos y elementos para desarrollar los procesos y procedimientos de conservación y restauración documental en el Archivo General de la Nación. SMO_14</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</si>
  <si>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</si>
  <si>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</si>
  <si>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 xml:space="preserve">Prestar el servicio de mantenimiento preventivo y correctivo para los equipos de digitalización de rollos de microfilm a digital propiedad del Archivo General de la Nación. SMO_18        </t>
  </si>
  <si>
    <t>Adquisición de elementos e insumos de laboratorio necesarios para el desarrollo de los procesos de monitoreo y conservación del acervo documental adelantados por el Archivo General de la Nación. SMO_19</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</si>
  <si>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</si>
  <si>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</si>
  <si>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los consumibles de impresión para los diferentes tipos de impresoras propiedad del Archivo General de la Nación.SMO_22</t>
  </si>
  <si>
    <t>Adquisición de equipos de cómputo y accesorios tecnológicos para el Archivo General de la Nación. SMO_23</t>
  </si>
  <si>
    <t>Adquisición de equipos especializados para realizar las actividades tendientes a la conservación y restauración documental por parte del Archivo General de la Nación. SMO24</t>
  </si>
  <si>
    <t>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t>
  </si>
  <si>
    <t>Compra de elementos de papelería para el Archivo General de la Nación.  SMO_26</t>
  </si>
  <si>
    <t xml:space="preserve">Contratar los intereses patrimoniales actuales y futuros, así como los bienes de propiedad del AGN Jorge Palacios Preciado, que estén bajo su responsabilidad y custodia y aquellos que sean adquiridos para realizar funciones </t>
  </si>
  <si>
    <t>Servicios de alojamiento, comidas y transporte de pasajeros</t>
  </si>
  <si>
    <t>Prestar el servicio de suministro de tiquetes aéreos a nivel nacional e internacional, en tarifas económicas y en los horarios requeridos por el Archivo General de la Nación Jorge Palacios Preciado</t>
  </si>
  <si>
    <t>Paula Carolina Villamizar Penilla</t>
  </si>
  <si>
    <t>paula.villamizar@archivogeneral.gov.co</t>
  </si>
  <si>
    <t xml:space="preserve">42132203; 46181532; 46181533; 42121611; 46182002; 24101900 </t>
  </si>
  <si>
    <t xml:space="preserve">24101900; 60121500; 31201500; 31211904; 47131603; 11162122; 11161703; 30151901; 14111703; 42142506; 42151639; 30103203   </t>
  </si>
  <si>
    <t>81101700; 81112300; 81112200</t>
  </si>
  <si>
    <t>43231500; 43232100; 81112500</t>
  </si>
  <si>
    <t>81101700; 81112200; 81112300</t>
  </si>
  <si>
    <t>81112300; 60121500; 31201500; 12352200; 12352104; 51191601; 41104900; 41121701; 11121802; 42141500; 21101803; 42141501; 51102710; 41106204; 41104014</t>
  </si>
  <si>
    <t>41111516; 41114401; 73152105; 81101706; 81141504</t>
  </si>
  <si>
    <t>42271802; 60121708</t>
  </si>
  <si>
    <t xml:space="preserve">14111530; 14111537; 32101622; 41111604; 44121618; 44121636; 44121708; 44122101; 55121606; 60105704 </t>
  </si>
  <si>
    <t>84131500; 84131600</t>
  </si>
  <si>
    <t xml:space="preserve">MAYO </t>
  </si>
  <si>
    <t>ADICIÓN CTO 429-2022
Vigencia futura 2026</t>
  </si>
  <si>
    <t>SEL08</t>
  </si>
  <si>
    <t>SEL09</t>
  </si>
  <si>
    <t>SEL10</t>
  </si>
  <si>
    <t>SEL11</t>
  </si>
  <si>
    <t>SEL12</t>
  </si>
  <si>
    <t>SEL13</t>
  </si>
  <si>
    <t>SEL14</t>
  </si>
  <si>
    <t>SEL15</t>
  </si>
  <si>
    <t>SEL16</t>
  </si>
  <si>
    <t>SEL17</t>
  </si>
  <si>
    <t>SEL18</t>
  </si>
  <si>
    <t>SEL19</t>
  </si>
  <si>
    <t>SEL20</t>
  </si>
  <si>
    <t>SEL21</t>
  </si>
  <si>
    <t>SEL22</t>
  </si>
  <si>
    <t>SEL23</t>
  </si>
  <si>
    <t>SEL24</t>
  </si>
  <si>
    <t>SEL25</t>
  </si>
  <si>
    <t>Seguros y polizas. SEL08</t>
  </si>
  <si>
    <t>Contrar los servicios de mediciones de condiciones ambientales en el fondo docuemntal del extinto DAS en custpodia del AGN. SEL09</t>
  </si>
  <si>
    <t>Prestación de Servicios Profesionales para liderar el desarrollo del diagnóstico integral de documentos en papel (Cumplimiento al AUTO OPV 182 de 2023). SEL10</t>
  </si>
  <si>
    <t>Prestación de Servicios Profesionales en Archivística para el diangóstico integral de los documentos en papel del extinto DAS. SEL11</t>
  </si>
  <si>
    <t>Prestación de Servicios técnicos en archivística para el diangóstico integral de los documentos en papel del extinto DAS. SEL12</t>
  </si>
  <si>
    <t>Contratar loss servicios para realziar los estudios de Seguridad del personal contratista. SEL14</t>
  </si>
  <si>
    <t>Prestación de Servicios Profesionales en archivística para la evaluación y análisis de documentos archivísticos del fondo documental del extinto DAS en custodia y conservación del AGN (cumplimiento al AUTO OPV182 de 2023). SEL15</t>
  </si>
  <si>
    <t>Prestación de Servicios Profesionales en historia para la evaluación y análisis de documentos archivísticos del fondo documental del extinto DAS en custodia y conservación del AGN (cumplimiento al AUTO OPV182 de 2023). SEL16</t>
  </si>
  <si>
    <t>Prestación de Servicios Profesionales para liderar el desarrollo del diagnóstico de los medios digitales del archivo del extinto DAS en custodia y conservación del AGN (cumplimiento al AUTO OPV182 de 2023). SEL17</t>
  </si>
  <si>
    <t>Prestación de Servicios Profesionales de Perito informático para el desarrollo del diagnóstico de los medios digitales del archivo del extinto DAS en custodia y conservación del AGN (cumplimiento al AUTO OPV182 de 2023). SEL18</t>
  </si>
  <si>
    <t>Prestación de Servicios Profesionales de abogado en derecho informático para apoyar el desarrollo del diagnóstico de los medios digitales del archivo del extinto DAS en custodia y conservación del AGN (cumplimiento al AUTO OPV182 de 2023). SEL19</t>
  </si>
  <si>
    <t>Prestación de Servicios Profesionales de ingeniero de sistemas experto en infraestructura tecnológica para apoyar el desarrollo del diagnóstico de los medios digitales del archivo del extinto DAS en custodia y conservación del AGN (cumplimiento al AUTO OPV182 de 2023). SEL20</t>
  </si>
  <si>
    <t>Prestación de Servicios Profesionales en ingenieria de Sistemas con Experiencia en Proyectos Archivísticos para apoyar el desarrollo del diagnóstico de los medios digitales del archivo del extinto DAS en custodia y conservación del AGN (cumplimiento al AUTO OPV182 de 2023). SEL21</t>
  </si>
  <si>
    <t>Prestación de Servicios Profesionales en archivística para apoyar el desarrollo del diagnóstico de los medios digitales del archivo del extinto DAS en custodia y conservación del AGN (cumplimiento al AUTO OPV182 de 2023). SEL22</t>
  </si>
  <si>
    <t>Prestación de Servicios técnicos en sistemas  para apoyar el desarrollo del diagnóstico de los medios digitales del archivo del extinto DAS en custodia y conservación del AGN (cumplimiento al AUTO OPV182 de 2023). SEL23</t>
  </si>
  <si>
    <t>Prestación de Servicios Profesionales historia para apoyar el desarrollo del diagnóstico de los medios digitales del archivo del extinto DAS en custodia y conservación del AGN (cumplimiento al AUTO OPV182 de 2023). SEL24</t>
  </si>
  <si>
    <t>Bolsa contratos de prestación de servicios. SEL25</t>
  </si>
  <si>
    <t>STI 8</t>
  </si>
  <si>
    <t>STI 9</t>
  </si>
  <si>
    <t>STI 10</t>
  </si>
  <si>
    <t>STI 11</t>
  </si>
  <si>
    <t>Yenni Marcela Gasca Muete</t>
  </si>
  <si>
    <t>marcela.gasca@archivogeneral.gov.co</t>
  </si>
  <si>
    <t>Prestar servicios profesionales para realizar acciones oritentadas a la divulgación e implementación de la Política de Archivos y Gestión Documental, en el marco de la asistencia técnica y capacitación archivística en sus diferentes modalidades. SNA1</t>
  </si>
  <si>
    <t>Apoyar, mediante el otorgamiento de una (1) beca, la promoción y el fortalecimiento de la aplicación de la política archivística en los grupos de valor del SNA, así como visibilizar los archivos fotográficos dentro de los sistemas de información del AGN, a través del rescate de colecciones fotográficas, privadas o institucionales, inéditas o conocidas que se encuentren en peligro de desaparecer. SNA2</t>
  </si>
  <si>
    <t>Apoyar, mediante el otorgamiento de una (1) beca, la preservación, conservación y circulación de colecciones sonoras nacionales, privadas o institucionales, de sonido inédito o editado, para promover y fortalecer la aplicación de política archivística en los grupos de valor del SNA y para visibilizar los archivos sonoros dentro de los sistemas de información del AGN. SNA3</t>
  </si>
  <si>
    <t>Prestación de servicios profesionales para el desarrollo de acciones de asistencia técnica, capacitación y de resignficación a los grupos de valor del Programa de Achivos para la Paz. SNA4</t>
  </si>
  <si>
    <t>Alquiler de STAND Feria del Libro, con el propósito de adelantar acciones de divulgación y difusión del patrimonio documental colombiano en el marco de la Feria Internacional del Libro de Bogotá 2024. SNA5</t>
  </si>
  <si>
    <t>Servicios de alojamiento, alimentación y transporte terrestre de pasajeros. SNA6</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</si>
  <si>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</si>
  <si>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</si>
  <si>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 xml:space="preserve">78111500; 90121502; 90121603 </t>
  </si>
  <si>
    <t>Luz Dora Ariza López</t>
  </si>
  <si>
    <t>luz.ariza@archivogeneral.gov.co</t>
  </si>
  <si>
    <t>80101600; 72153613; 80131500</t>
  </si>
  <si>
    <t>GOR1</t>
  </si>
  <si>
    <t>GOR2</t>
  </si>
  <si>
    <t>GOR3</t>
  </si>
  <si>
    <t>GOR4</t>
  </si>
  <si>
    <t>GCR1</t>
  </si>
  <si>
    <t>GCR2</t>
  </si>
  <si>
    <t>GCR3</t>
  </si>
  <si>
    <t>GCR5</t>
  </si>
  <si>
    <t>GCR6</t>
  </si>
  <si>
    <t>GCR7_SMO</t>
  </si>
  <si>
    <t>GCR8_SMO</t>
  </si>
  <si>
    <t>GCR9</t>
  </si>
  <si>
    <t>GCR10_SMO</t>
  </si>
  <si>
    <t>GCR11</t>
  </si>
  <si>
    <t>GCR12</t>
  </si>
  <si>
    <t>GID1</t>
  </si>
  <si>
    <t>GID2</t>
  </si>
  <si>
    <t>SGP1</t>
  </si>
  <si>
    <t>SGP2</t>
  </si>
  <si>
    <t>SGP3</t>
  </si>
  <si>
    <t>SGP4</t>
  </si>
  <si>
    <t>SGP5</t>
  </si>
  <si>
    <t>SGP6</t>
  </si>
  <si>
    <t>SGP7</t>
  </si>
  <si>
    <t>SGP8</t>
  </si>
  <si>
    <t>SE EXCLUYE DE SECOP ADICIÓN CTO 429-2022
Vigencia futura 2026</t>
  </si>
  <si>
    <t>GCR4</t>
  </si>
  <si>
    <t>Restaurar folios con deterioro medio y alto pertenecientes al patrimonio documental del país. GCR1</t>
  </si>
  <si>
    <t>Adquirir a título de compraventa papeles especiales para la restauración documental GCR4</t>
  </si>
  <si>
    <t>Adquirir a título de compraventa mobiliario para archivo planoteca de gran formato, carror para muestras microbiologicas, escalera auxiliar y rolloteca GCR5</t>
  </si>
  <si>
    <t>Adquisición de elementos e insumos de laboratorio necesarios para el desarrollo de los procesos de monitoreo y conservación del acervo documental adelantados por el Archivo General de la Nación. GCR7_SMO</t>
  </si>
  <si>
    <r>
      <t>Realización del mantenimiento y calibración de los equipos de laboratorio propiedad del Archivo General de la Nació</t>
    </r>
    <r>
      <rPr>
        <sz val="10"/>
        <rFont val="Arial Narrow"/>
        <family val="2"/>
      </rPr>
      <t>n. GCR8_SMO</t>
    </r>
  </si>
  <si>
    <t>Prestar el servicio de mantenimiento y corrección de equipos de encuadernación GCR9</t>
  </si>
  <si>
    <t>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Nación.GCR10_SMO</t>
  </si>
  <si>
    <t>Adquirir a título de compraventa equipos especializados para conservacion documental GCR11</t>
  </si>
  <si>
    <t>Adquirir a título de compraventa equipos de computo GCR12</t>
  </si>
  <si>
    <t>Servicio de mantenimiento de equipos de lectura de microfilm. GID2</t>
  </si>
  <si>
    <t>Diseño, realización y evaluación de la estrategia de espacios de diálogo sobre experiencias en archivos, Derechos Humanos y paz. SGP1</t>
  </si>
  <si>
    <t xml:space="preserve">
Verificación de la valoración y los instrumentos de descripción de los archivos objeto de ingreso documental al Archivo General de la Nacion. SGP2</t>
  </si>
  <si>
    <t>Adquirir a titulo de compraventa insumos y materiales de papelería. SGP4</t>
  </si>
  <si>
    <t>Realizar las actividades de apoyo para el desarrollo del proceso de ingreso documentales conforme a la programacion  del Archivo General de la Nación SGP6</t>
  </si>
  <si>
    <t>Elaboración de Instrumentos archivísticos de recuperación y acceso a información sobre contenidos de fondos documentales histótricos que custodia el AGN. GOR1</t>
  </si>
  <si>
    <t>Realizar los procesos reprográficos (digitalización en cama plana) de documentos históricos del acervo documental del Archivo General de la Nación. GOR2</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</si>
  <si>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</si>
  <si>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</si>
  <si>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Adquisición de insumos y elementos para desarrollar los procesos y procedimientos de conservación y restauración documental en el Archivo General de la Nación. GCR6_SMO</t>
  </si>
  <si>
    <t>ARL Pasantes Archivo General de la Nación. SGP5</t>
  </si>
  <si>
    <t>Alquiler de STAND Feria del Libro, con el propósito de adelantar acciones de divulgación y difusión del patrimonio documental colombiano en el marco de la FILBO 2024. SGP7.</t>
  </si>
  <si>
    <t>Piloto para la recolección permante de información actualizar el Censo Nacional de Archivos. SGP8.</t>
  </si>
  <si>
    <t>Laura Sánchez Alvarado</t>
  </si>
  <si>
    <t>laura.sanchez@archivogeneral.gov.co</t>
  </si>
  <si>
    <t>80101600; 80101604; 80111620; 93151500</t>
  </si>
  <si>
    <t xml:space="preserve">14111600; 60121100 </t>
  </si>
  <si>
    <t>60121148; 601215; 312015</t>
  </si>
  <si>
    <t>46181500;46182000;42132200</t>
  </si>
  <si>
    <t>43201800; 43211700; 44103100; 44101700</t>
  </si>
  <si>
    <t>SIV1</t>
  </si>
  <si>
    <t>SIV2</t>
  </si>
  <si>
    <t>SIV6</t>
  </si>
  <si>
    <t>SIV7</t>
  </si>
  <si>
    <t>Se excluye de SECOP</t>
  </si>
  <si>
    <t>unificar tiquetes</t>
  </si>
  <si>
    <t>Contrato de prestación de servicios profesionales de  archivista o historiador o carreras afines a las ciencias sociales para visitas de inspección, vigilancia y control, en el marco de la meta estratégica de descongestión del 80% en ela vigencia 2024</t>
  </si>
  <si>
    <t>Contrato de prestación de servicios profesionales Con formación en derecho para visitas de inspección, vigilancia y control en el marco de la meta estratégica de descongestión del 80% en la vigencia 2024</t>
  </si>
  <si>
    <t>Contrato de prestación de servicios profesionales de un profesional en Economía o carreras afines para seguimiento  a asuntos financieros y de planeación , en el marco de la meta estratégica de descongestión del 80% en ela vigencia 2024</t>
  </si>
  <si>
    <t>Contrato de prestación de servicios de un técnico archivista que apoye en la gestión de los expedientes del archivo de la Subdirección, Vigilancia y Control, en el marco de la meta estratégica de descongestión del 80% en ela vigencia 2024</t>
  </si>
  <si>
    <t>jorge.carrasquilla@archivogeneral.gov.co</t>
  </si>
  <si>
    <t>Jorge Alejandro Carrasquilla</t>
  </si>
  <si>
    <t>81000000;
81160000;
81161800;
81161801</t>
  </si>
  <si>
    <t>24000000;
24110000;
24112400;
24112406</t>
  </si>
  <si>
    <t xml:space="preserve">72000000;
72150000;
72154000;
72154666
</t>
  </si>
  <si>
    <t xml:space="preserve">41000000;
41100000
</t>
  </si>
  <si>
    <t xml:space="preserve">80000000;
80110000;
80111600;
80111620
</t>
  </si>
  <si>
    <t>80000000;
80110000;
80111600;
80111620</t>
  </si>
  <si>
    <t xml:space="preserve">44000000;
44110000
</t>
  </si>
  <si>
    <t>80000000;
80110000;
80111600</t>
  </si>
  <si>
    <t>Prestar el servicio de suministro de tiquetes aéreos a nivel nacional e internacional, en tarifas económicas y en los horarios requeridos por el Archivo General de la Nación Jorge Palacios Preciado. SNA7</t>
  </si>
  <si>
    <t>Prestar el servicio de suministro de tiquetes aéreos a nivel nacional e internacional, en tarifas económicas y en los horarios requeridos por el Archivo General de la Nación Jorge Palacios Preciado. SPA 5</t>
  </si>
  <si>
    <t>SIV8</t>
  </si>
  <si>
    <t>Prestar el servicio de suministro de tiquetes aéreos a nivel nacional e internacional, en tarifas económicas y en los horarios requeridos por el Archivo General de la Nación Jorge Palacios Preciado. SIV8</t>
  </si>
  <si>
    <t>Desarrollar actividades de acompañamiento, asesoría y divulgación de los lineamientos, políticas y disposiciones en materia archivística y de gestión documental en entidades públicas y privadas con funciones públicas.</t>
  </si>
  <si>
    <t>Desarrollar actividades de acompañamiento y asesoría  técnica  a los diferentes grupos de valor del Archivo General de la nación en materia archivística y de gestión documental.</t>
  </si>
  <si>
    <t>Viáticos sede Funza. SEL13</t>
  </si>
  <si>
    <t>Implementar las acciones y procesos para el desarrollo y administración de la función archivista del Archivo General de la Nación</t>
  </si>
  <si>
    <t>TOTAL</t>
  </si>
  <si>
    <t>SGGTI01</t>
  </si>
  <si>
    <t>SGGTI02</t>
  </si>
  <si>
    <t>SGGTI03</t>
  </si>
  <si>
    <t>SGGTI04</t>
  </si>
  <si>
    <t>SGGTI05</t>
  </si>
  <si>
    <t>SGGTI06</t>
  </si>
  <si>
    <t>SGGTI07</t>
  </si>
  <si>
    <t>SGGTI08</t>
  </si>
  <si>
    <t>SGGTI09</t>
  </si>
  <si>
    <t>SGGTI10</t>
  </si>
  <si>
    <t>SGGTI11</t>
  </si>
  <si>
    <t>SGGTI12</t>
  </si>
  <si>
    <t>SGGTI13</t>
  </si>
  <si>
    <t>SGGTI14</t>
  </si>
  <si>
    <t>SGGTI15</t>
  </si>
  <si>
    <t>SGGTI16</t>
  </si>
  <si>
    <t>SGGTI17</t>
  </si>
  <si>
    <t>SGGTI18</t>
  </si>
  <si>
    <t>SGGTI19</t>
  </si>
  <si>
    <t>SGGTI20</t>
  </si>
  <si>
    <t>SGGTI21</t>
  </si>
  <si>
    <t>SGGTI22</t>
  </si>
  <si>
    <t>SGGTI23</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</si>
  <si>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</si>
  <si>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</si>
  <si>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 xml:space="preserve">
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</si>
  <si>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</si>
  <si>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</si>
  <si>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profesionales de un oficial de seguridad de la información, para llevar a cabo tareas del Modelo de Seguridad y Privacidad de la Información del Archivo General de la Nación. SGGTI06</t>
  </si>
  <si>
    <t>Contratar el servicio de soporte técnico y mantenimiento del sistema de información de nomina Kactus. SGGTI08</t>
  </si>
  <si>
    <t>Renovacion del Pool de Direccionamiento IPV6 Lacnic. SGGTI09</t>
  </si>
  <si>
    <t>Contratar los servicios de canales de datos con alta disponibilidad para las sedes Centro y Funza del Archivo General de la Nación la entidad.SGGTI10</t>
  </si>
  <si>
    <t>Renovacion de Licenciamiento Microsoft. SGGTI11</t>
  </si>
  <si>
    <t>Contratar los servicios de mantenimiento con repuestos incluidos para los diferentes tipos de impresoras del Archivo General de la Nación. SGGTI12</t>
  </si>
  <si>
    <t>Adquirir certificados digitales SGGTI13</t>
  </si>
  <si>
    <t>Adquirir licenciamiento de Antivirus para el Archivo General de la Nación. SGGTI14</t>
  </si>
  <si>
    <t>Contratar los servicios de soporte técnico, mantenimiento y actualización de todos los subsistemas y componentes del sistema de preservación digital (ADN).SGGTI15</t>
  </si>
  <si>
    <t>Contratar los servicios de soporte técnico para la telefonia (Teams). SGGTI16</t>
  </si>
  <si>
    <t>Adquirir licencias de software para diseño, administración y edición con el que cuenta el Archivo General de la Nación. SGGTI17</t>
  </si>
  <si>
    <t>Adquirir equipos de computo y accesorios tecnológicos para el Archivo General de la Nación. SGGTI18</t>
  </si>
  <si>
    <t>Contratar la renovacion de la Infraestructura tecnologica del SIS. SGGTI19</t>
  </si>
  <si>
    <t>Adquirir equipos para el almacenamiento, realización de copias de seguridad y administración masiva de la información de las sedes del Archivo General de la Nación. SGGTI20</t>
  </si>
  <si>
    <t>Compra de equipos para reprografía del Archivo General de la Nación. SGGTI21</t>
  </si>
  <si>
    <t>Adquirir dispositivos de red y renovar el cableado estructurado del Archivo General de la Nación. SGGTI22</t>
  </si>
  <si>
    <t>Renovación de servicio Transaccional de la pasarela de pagos del Archivo General de la Nación. SGGTI23</t>
  </si>
  <si>
    <t>43222600;81111800</t>
  </si>
  <si>
    <t>43233201;81112200</t>
  </si>
  <si>
    <t>81112306;43212100;44101700;44103100;81112300</t>
  </si>
  <si>
    <t>43231513;81112200</t>
  </si>
  <si>
    <t>43231512;43232100;43232102;43231500</t>
  </si>
  <si>
    <t>43211502;43201618;43222609;43222502;43233701;43201834;43212201;43233004;41113711;43222634;43222644;43223306</t>
  </si>
  <si>
    <t xml:space="preserve">
81112200</t>
  </si>
  <si>
    <t>NOVIEMBRE</t>
  </si>
  <si>
    <t>José Luis Hernández Jiménez</t>
  </si>
  <si>
    <t>jose.hernandez@archivogeneral.gov.co</t>
  </si>
  <si>
    <t xml:space="preserve">81112100	</t>
  </si>
  <si>
    <t>GSA7</t>
  </si>
  <si>
    <t>GSA8</t>
  </si>
  <si>
    <t>GSA9</t>
  </si>
  <si>
    <t>GSA10</t>
  </si>
  <si>
    <t>GSA11</t>
  </si>
  <si>
    <t>GSA12</t>
  </si>
  <si>
    <t>GSA13</t>
  </si>
  <si>
    <t>GSA14</t>
  </si>
  <si>
    <t>GSA15</t>
  </si>
  <si>
    <t>GSA16</t>
  </si>
  <si>
    <t>GSA17</t>
  </si>
  <si>
    <t>GSA18</t>
  </si>
  <si>
    <t>GSA19</t>
  </si>
  <si>
    <t>GSA20</t>
  </si>
  <si>
    <t>GSA21</t>
  </si>
  <si>
    <t>GSA22</t>
  </si>
  <si>
    <t>GSA23</t>
  </si>
  <si>
    <t>Adelantar las obras necesarias para la construcción, el suministro, montaje y puesta en funcionamiento de una subestación de energía eléctrica de MT/BT en la sede Funza del Archivo General de la Nación GSA1</t>
  </si>
  <si>
    <t xml:space="preserve"> Interventoria Subestación electrica Sede Funza GSA2</t>
  </si>
  <si>
    <t>Adelantar la obra para el desarrollo de la Fase 2 del Módulo 7  Sede Funza GSA3</t>
  </si>
  <si>
    <t>Interventoria a Fase 2 Montaje Módulo 7  Sede Funza GSA4</t>
  </si>
  <si>
    <t>Adelantar la obra para el montaje del montaje módulo 8 fase 1, en la Sede Funza del Archivo General de la Nación Jorge Palacios Preciado GSA5</t>
  </si>
  <si>
    <t>Interventoria montaje módulo 8 fase 1, en la Sede Funza del Archivo General de la Nación Jorge Palacios Preciado GSA6</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</si>
  <si>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</si>
  <si>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</si>
  <si>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</si>
  <si>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</si>
  <si>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</si>
  <si>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Mantenimientos preventivos y correctivos garaventa Sede Centro y Ascensor Sede Funza, equipos basculantes y brazos eléctricos de las instalaciones del Archivo General de la Nación GSA12</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</si>
  <si>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</si>
  <si>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</si>
  <si>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</si>
  <si>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Suministro e instalación equipo de respaldo Sede Centro (Planta Electrica de 750 KVA) y adecuación planta de 250KVA existente en la Sede Cetnro para Sede Funza (cabina de insonorización y base tanque) GSA16</t>
  </si>
  <si>
    <t>Intervenciones de emergencia edificio Norte y Sur del Archivo General de la Nación GSA17</t>
  </si>
  <si>
    <t>Interventoria a Intervenciones de emergencia  edificio Norte y Sur del Archivo General de la Nación GSA18</t>
  </si>
  <si>
    <t>Consultoria Intervenciones de emergencia edificio Norte y Sur del Archivo General de la Nación GSA19</t>
  </si>
  <si>
    <t>Prestación de servicios profesionales para estructurar los documentos técnicos para contratar los procesos de interventoría y montaje, fabricación del módulo 8, fase 2 del modulo 7 y subestación de energía en la Sede Funza del Archivo General de la Nación. GSA20</t>
  </si>
  <si>
    <t>Estructurar los documentos técnicos para contratar la construcción, montaje y puesta en funcionamiento del sistema eléctrico del módulo 8, fase 2 del modulo 7 y subestación de energía para la Sede Funza del Archivo General de la Nación. GSA21</t>
  </si>
  <si>
    <t>Estructurar los documentos técnicos para el proyecto de intervención de modificación arquitectónica, estructural, eléctrica, de redes (voz y datos) de la Sede Centro del AGN. GSA22</t>
  </si>
  <si>
    <t>Documentación Sistema de Gestión Ambiental GSA23</t>
  </si>
  <si>
    <t>Concurso de méritos abierto</t>
  </si>
  <si>
    <t>72102900; 81101700; 81101702; 81101701; 39121300;39121303;39121623:39121700;72151502</t>
  </si>
  <si>
    <t>81101701;81101700;72151515</t>
  </si>
  <si>
    <t>30111500;72121400;72121000;72121100</t>
  </si>
  <si>
    <t>81101500;81101600;81101700;80101600</t>
  </si>
  <si>
    <t>72101500;72102900;72154000;73152100;30171500</t>
  </si>
  <si>
    <t>72151500;73152100;83101800;81101600;72101500;72154000</t>
  </si>
  <si>
    <t>73152100;81101600;72101500;72154000</t>
  </si>
  <si>
    <t>32151900;32151901;32151902;32151903;32151904;46191500;46191501;46191502;46191503;46191504;46191505;72151700;72151701;72151702;72154000;72154001;81101700;81101701;81101702;81101703</t>
  </si>
  <si>
    <t>72102900;72103300;72151500;73152100;83101800;81101600;72101500;72154000</t>
  </si>
  <si>
    <t>24101601;72101506;72154010</t>
  </si>
  <si>
    <t>72151500;72151502</t>
  </si>
  <si>
    <t>72102900;72103300</t>
  </si>
  <si>
    <t>81101500;81101600;81101700;81102700</t>
  </si>
  <si>
    <t>81101700;72151500</t>
  </si>
  <si>
    <t>73152100;81101700</t>
  </si>
  <si>
    <t>77101600;77101700</t>
  </si>
  <si>
    <t>Yennyfer Bayona</t>
  </si>
  <si>
    <t>SG4</t>
  </si>
  <si>
    <t>SG5</t>
  </si>
  <si>
    <t xml:space="preserve">Prestar el servicio como intérprete de Lengua de Señas en la realización de actividades y eventos, promoviendo la permanencia e inclusión de personas con discapacidad auditiva en el Archivo General de la Nación SG1
</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</si>
  <si>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</si>
  <si>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</si>
  <si>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</si>
  <si>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Implementar acciones para el desarrollo organizacional del proyecto de fortalecimiento de la gestion institucional. SG5</t>
  </si>
  <si>
    <t>80111601;80111702;80101504;80101603;80101604;93151504</t>
  </si>
  <si>
    <t>andrea.prieto@archivogeneral.gov.co</t>
  </si>
  <si>
    <t>Juan  Manuel  Manrique</t>
  </si>
  <si>
    <t>juan.manrique@archivogeneral.gov.co</t>
  </si>
  <si>
    <t>Jorge.carrasquilla@archivogeneral.gov.co</t>
  </si>
  <si>
    <t>80111600; 80111601; 80111701</t>
  </si>
  <si>
    <t>alexandra.hurtado@archivogeneral.gov.co</t>
  </si>
  <si>
    <t>Alexandra Hurtado Aguirre</t>
  </si>
  <si>
    <t>SG6</t>
  </si>
  <si>
    <t>SG7</t>
  </si>
  <si>
    <t>Damaris Andrea Sánchez Rubiano</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</si>
  <si>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</si>
  <si>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</si>
  <si>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de instalación, puesta en funcionamiento, soporte y mantenimiento de un Sistema de Gestión de Documentos Electrónicos de Archivo - SGDEA. SGGTI07</t>
  </si>
  <si>
    <t>C_3399_1603_6_20302D_3399056</t>
  </si>
  <si>
    <t>C_3399_1603_6_20302D_3399062</t>
  </si>
  <si>
    <t>C_3399_1603_6_20302D_3399016</t>
  </si>
  <si>
    <t>C_3302_1603_12_20302B_3302001</t>
  </si>
  <si>
    <t>C_3302_1603_12_20302B_3302047</t>
  </si>
  <si>
    <t>C_3302_1603_12_20302B_3302071</t>
  </si>
  <si>
    <t>C_3302_1603_12_20302B_3302075</t>
  </si>
  <si>
    <t>C_3302_1603_12_20302B_3302076</t>
  </si>
  <si>
    <t>C_3302_1603_12_20302B_3302077</t>
  </si>
  <si>
    <t>SGGTI24</t>
  </si>
  <si>
    <t xml:space="preserve">
Contratar los servicios profesionales para el mantenimiento, actualización y administración de los portales web del Archivo General de la Nación SGGTI24</t>
  </si>
  <si>
    <t>Juan Felipe Conde</t>
  </si>
  <si>
    <t>juan.conde@archivogeneral.gov.co</t>
  </si>
  <si>
    <t>SNA11</t>
  </si>
  <si>
    <t xml:space="preserve"> Prestación de Servicios Profesionales para la Planeación y seguimiento a la ejecución del diagnostico del proyecto del archivo del extinto DAS en custodia y conservación del AGN-Cumplimiento al AUTO OPV 182 de 2023. SEL07</t>
  </si>
  <si>
    <t>Apoyar al Archivo General de la Nación en el desarrollo de un plan de comunicaciones para el programa de Archivos para la Paz y los programas y eventos relacionados con el Sistema Nacional de Archivos y sus actores. SNA11</t>
  </si>
  <si>
    <t>Prestar el servicio profesional para la generar acciones de programación acorde con las necesidades del Archivo General de la Nación  STI2</t>
  </si>
  <si>
    <t>Prestar el servicio profesional para la generar acciones de programación acorde con las necesidades del Archivo General de la Nación  STI3</t>
  </si>
  <si>
    <t>Prestación de servicios para la  elaboracion de documentos asociados a la gestión documental electrónica
STI4</t>
  </si>
  <si>
    <t>Prestar el servicio profesional para la realización de productos multimedia  STI5</t>
  </si>
  <si>
    <t>Prestar el servicio profesional para la realización de la estrategia transmedia  del AGN STI6</t>
  </si>
  <si>
    <t>Prestar el servicio profesional para realizar una propuesta para visibilizar el patrimono documental en el territorio nacional   STI7</t>
  </si>
  <si>
    <t>Prestar el servicio profesional para el desarrollo de herramientas interactivas con el fin de divulgar el patrimono documental  STI8</t>
  </si>
  <si>
    <t>Prestar el servicio profesional para la validación de la APP del Archivo General de la Nación STI9</t>
  </si>
  <si>
    <t>Prestación de servicios para la elaboración de historias  que contribuyan al acceso del patrimonio y a la gestión documental electrónica STI10</t>
  </si>
  <si>
    <t>Prestación de servicios profesionales en el diseño y elaboración de material de difusión de los contenidos enmarcados en la estrategia de comunicación del Archivo General de la Nación. STI11</t>
  </si>
  <si>
    <t xml:space="preserve">
Prestar servicios de apoyo para la producción y desarrollo de piezas gráficas que permitan la difusión de las actividades de la entidad STI12</t>
  </si>
  <si>
    <t xml:space="preserve">
Prestar  los servicios profesionales como community manager al Archivo General de la Nación    
STI13</t>
  </si>
  <si>
    <t>STI 13</t>
  </si>
  <si>
    <t>STI 14</t>
  </si>
  <si>
    <t>Prestar sevicios profesionales para el apoyo jurídico   STI14</t>
  </si>
  <si>
    <t>STI 12</t>
  </si>
  <si>
    <t>VALOR SOLICITADO</t>
  </si>
  <si>
    <t>SALDO</t>
  </si>
  <si>
    <t>DETALLE FICHA</t>
  </si>
  <si>
    <t>SG8</t>
  </si>
  <si>
    <t>Prestar servicios profesionales al Archivo general de la Nación, para apoyar las fase final de la transformación institucional de la Entidad a través de la facilitación en la elaboración de documentos definitivos que permitan adelantar el rediseño institucional. SG8</t>
  </si>
  <si>
    <t>80111601;80111600</t>
  </si>
  <si>
    <t xml:space="preserve">
Prestación de servicios de apoyo a la gestión para procesos de intervención en encuadernaciones de tomos y legajos del acervo documental del Archivo General de la Nación y elaboración de unidades de almacenamiento especiales de conservación.GCR3
</t>
  </si>
  <si>
    <t>Prestar servicios profesionales en la producción de contenidos históricos para redes sociales, piezas de divulgación y ubicación de documentos en la sala de investigación.GID1</t>
  </si>
  <si>
    <t xml:space="preserve">
Realizar las actividades para la verificación y ubicación de documentos en la sala de investigación, que provengan de procesos técnicos e ingresos documentales. SGP3</t>
  </si>
  <si>
    <t>Ficha remitida el 12 de enero de 2024</t>
  </si>
  <si>
    <t>A-02-02-02-007-001</t>
  </si>
  <si>
    <t>Ficha remitida el 15 de enero de 2024</t>
  </si>
  <si>
    <t>GSA24</t>
  </si>
  <si>
    <t>Prestar el servicio de fumigación y desratización en el Archivo General de la Nación Jorge Palacios Preciado. GSA24</t>
  </si>
  <si>
    <t>43201800;44103100;44101700</t>
  </si>
  <si>
    <t>Prestación de servicios profesionales de abogado para apoyar los procesos de gestión contractual del Archivo General de la Nación. SNA10</t>
  </si>
  <si>
    <t>C_3302_1603_12_20302B_3302002</t>
  </si>
  <si>
    <t>A-02-02-02-008-003</t>
  </si>
  <si>
    <t>Ficha remitida el 18 de enero de 2024</t>
  </si>
  <si>
    <t>Realizar el inventario y el control de calidad de las imágenes resultado del proceso de reprografía del AGN y hacer el traslado de los documentos en los diferentes repositorios de la entidad. GOR3</t>
  </si>
  <si>
    <t>-</t>
  </si>
  <si>
    <t>A_02_02_02</t>
  </si>
  <si>
    <t>Código PPTO (PARA CDP)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</si>
</sst>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_-* #,##0_-;\-* #,##0_-;_-* &quot;-&quot;??_-;_-@_-"/>
    <numFmt numFmtId="168" formatCode="_-* #,##0.0_-;\-* #,##0.0_-;_-* &quot;-&quot;_-;_-@_-"/>
    <numFmt numFmtId="169" formatCode="_-&quot;$&quot;* #,##0.000000_-;\-&quot;$&quot;* #,##0.000000_-;_-&quot;$&quot;* &quot;-&quot;_-;_-@_-"/>
    <numFmt numFmtId="170" formatCode="&quot;$&quot;\ #,##0"/>
    <numFmt numFmtId="171" formatCode="&quot;$&quot;\ #,##0.00"/>
    <numFmt numFmtId="172" formatCode="_-&quot;$&quot;\ * #,##0_-;\-&quot;$&quot;\ * #,##0_-;_-&quot;$&quot;\ * &quot;-&quot;??_-;_-@_-"/>
    <numFmt numFmtId="173" formatCode="_(&quot;$&quot;\ * #,##0_);_(&quot;$&quot;\ * \(#,##0\);_(&quot;$&quot;\ * &quot;-&quot;??_);_(@_)"/>
  </numFmts>
  <fonts count="32" x14ac:knownFonts="1">
    <font>
      <sz val="11"/>
      <color theme="1"/>
      <name val="Calibri"/>
      <family val="2"/>
      <scheme val="minor"/>
    </font>
    <font>
      <sz val="11"/>
      <color theme="1"/>
      <name val="Calibri"/>
      <family val="2"/>
      <scheme val="minor"/>
    </font>
    <font>
      <sz val="10"/>
      <name val="Arial"/>
      <family val="2"/>
    </font>
    <font>
      <b/>
      <sz val="10"/>
      <name val="Verdana"/>
      <family val="2"/>
    </font>
    <font>
      <sz val="10"/>
      <color theme="1"/>
      <name val="Verdana"/>
      <family val="2"/>
    </font>
    <font>
      <sz val="8"/>
      <name val="Calibri"/>
      <family val="2"/>
      <scheme val="minor"/>
    </font>
    <font>
      <sz val="11"/>
      <color theme="1"/>
      <name val="Arial"/>
      <family val="2"/>
    </font>
    <font>
      <sz val="11"/>
      <name val="Arial"/>
      <family val="2"/>
    </font>
    <font>
      <b/>
      <sz val="11"/>
      <color theme="1"/>
      <name val="Arial"/>
      <family val="2"/>
    </font>
    <font>
      <b/>
      <sz val="11"/>
      <name val="Arial"/>
      <family val="2"/>
    </font>
    <font>
      <sz val="8"/>
      <color theme="1"/>
      <name val="Calibri"/>
      <family val="2"/>
      <scheme val="minor"/>
    </font>
    <font>
      <b/>
      <sz val="8"/>
      <color theme="1"/>
      <name val="Arial"/>
      <family val="2"/>
    </font>
    <font>
      <b/>
      <sz val="8"/>
      <color theme="1"/>
      <name val="Calibri"/>
      <family val="2"/>
      <scheme val="minor"/>
    </font>
    <font>
      <sz val="8"/>
      <color rgb="FF202124"/>
      <name val="Calibri"/>
      <family val="2"/>
      <scheme val="minor"/>
    </font>
    <font>
      <sz val="10"/>
      <color theme="1"/>
      <name val="Arial Narrow"/>
      <family val="2"/>
    </font>
    <font>
      <sz val="10"/>
      <color theme="1"/>
      <name val="Calibri"/>
      <family val="2"/>
      <scheme val="minor"/>
    </font>
    <font>
      <sz val="10"/>
      <color rgb="FF000000"/>
      <name val="Arial Narrow"/>
      <family val="2"/>
    </font>
    <font>
      <sz val="10"/>
      <name val="Arial Narrow"/>
      <family val="2"/>
    </font>
    <font>
      <sz val="11"/>
      <color theme="1"/>
      <name val="Arial Narrow"/>
      <family val="2"/>
    </font>
    <font>
      <b/>
      <sz val="11"/>
      <color theme="1"/>
      <name val="Arial Narrow"/>
      <family val="2"/>
    </font>
    <font>
      <b/>
      <sz val="11"/>
      <name val="Arial Narrow"/>
      <family val="2"/>
    </font>
    <font>
      <b/>
      <sz val="11"/>
      <color rgb="FF002060"/>
      <name val="Arial Narrow"/>
      <family val="2"/>
    </font>
    <font>
      <b/>
      <sz val="11"/>
      <color theme="1"/>
      <name val="Calibri"/>
      <family val="2"/>
      <scheme val="minor"/>
    </font>
    <font>
      <b/>
      <sz val="11"/>
      <color theme="0"/>
      <name val="Calibri"/>
      <family val="2"/>
      <scheme val="minor"/>
    </font>
    <font>
      <sz val="11"/>
      <name val="Calibri Light"/>
      <family val="2"/>
      <scheme val="major"/>
    </font>
    <font>
      <u/>
      <sz val="11"/>
      <color theme="10"/>
      <name val="Calibri"/>
      <family val="2"/>
      <scheme val="minor"/>
    </font>
    <font>
      <sz val="10"/>
      <color theme="1"/>
      <name val="Arial Narrow"/>
      <family val="2"/>
    </font>
    <font>
      <b/>
      <sz val="10"/>
      <color theme="1"/>
      <name val="Arial Narrow"/>
      <family val="2"/>
    </font>
    <font>
      <sz val="11"/>
      <name val="Arial Narrow"/>
      <family val="2"/>
    </font>
    <font>
      <b/>
      <sz val="10"/>
      <name val="Arial Narrow"/>
      <family val="2"/>
    </font>
    <font>
      <sz val="11"/>
      <name val="Calibri"/>
      <family val="2"/>
      <scheme val="minor"/>
    </font>
    <font>
      <b/>
      <sz val="10"/>
      <color theme="0"/>
      <name val="Arial Narrow"/>
      <family val="2"/>
    </font>
  </fonts>
  <fills count="28">
    <fill>
      <patternFill patternType="none"/>
    </fill>
    <fill>
      <patternFill patternType="gray125"/>
    </fill>
    <fill>
      <patternFill patternType="solid">
        <fgColor theme="4" tint="0.59999389629810485"/>
        <bgColor indexed="64"/>
      </patternFill>
    </fill>
    <fill>
      <patternFill patternType="solid">
        <fgColor rgb="FFDBE5F1"/>
        <bgColor indexed="64"/>
      </patternFill>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00B0F0"/>
        <bgColor indexed="64"/>
      </patternFill>
    </fill>
    <fill>
      <patternFill patternType="solid">
        <fgColor rgb="FF00B050"/>
        <bgColor theme="4"/>
      </patternFill>
    </fill>
    <fill>
      <patternFill patternType="solid">
        <fgColor rgb="FF00B0F0"/>
        <bgColor theme="4"/>
      </patternFill>
    </fill>
    <fill>
      <patternFill patternType="solid">
        <fgColor theme="7" tint="0.39997558519241921"/>
        <bgColor theme="4"/>
      </patternFill>
    </fill>
    <fill>
      <patternFill patternType="solid">
        <fgColor theme="4" tint="0.59999389629810485"/>
        <bgColor theme="4"/>
      </patternFill>
    </fill>
    <fill>
      <patternFill patternType="solid">
        <fgColor theme="6" tint="-0.249977111117893"/>
        <bgColor theme="4"/>
      </patternFill>
    </fill>
    <fill>
      <patternFill patternType="solid">
        <fgColor rgb="FFC00000"/>
        <bgColor indexed="64"/>
      </patternFill>
    </fill>
    <fill>
      <patternFill patternType="solid">
        <fgColor rgb="FFCF9F97"/>
        <bgColor theme="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59999389629810485"/>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6">
    <xf numFmtId="0" fontId="0" fillId="0" borderId="0"/>
    <xf numFmtId="0" fontId="2" fillId="0" borderId="0"/>
    <xf numFmtId="0" fontId="2" fillId="0" borderId="0"/>
    <xf numFmtId="43" fontId="1" fillId="0" borderId="0" applyFont="0" applyFill="0" applyBorder="0" applyAlignment="0" applyProtection="0"/>
    <xf numFmtId="0" fontId="2" fillId="0" borderId="0"/>
    <xf numFmtId="0" fontId="3" fillId="3" borderId="0">
      <alignment horizontal="center" vertical="center"/>
    </xf>
    <xf numFmtId="41" fontId="1" fillId="0" borderId="0" applyFont="0" applyFill="0" applyBorder="0" applyAlignment="0" applyProtection="0"/>
    <xf numFmtId="49" fontId="4" fillId="0" borderId="0" applyFill="0" applyBorder="0" applyProtection="0">
      <alignment horizontal="left" vertical="center"/>
    </xf>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9" fontId="4" fillId="0" borderId="0" applyFill="0" applyBorder="0" applyProtection="0">
      <alignment horizontal="left" vertical="center"/>
    </xf>
    <xf numFmtId="0" fontId="25" fillId="0" borderId="0" applyNumberForma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0" fontId="25" fillId="0" borderId="0" applyNumberFormat="0" applyFill="0" applyBorder="0" applyAlignment="0" applyProtection="0"/>
  </cellStyleXfs>
  <cellXfs count="248">
    <xf numFmtId="0" fontId="0" fillId="0" borderId="0" xfId="0"/>
    <xf numFmtId="41" fontId="0" fillId="4" borderId="3" xfId="6" applyFont="1" applyFill="1" applyBorder="1" applyAlignment="1" applyProtection="1">
      <alignment horizontal="center" vertical="center"/>
      <protection locked="0"/>
    </xf>
    <xf numFmtId="41" fontId="0" fillId="4" borderId="0" xfId="6"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7" fillId="4" borderId="3" xfId="0" applyFont="1" applyFill="1" applyBorder="1" applyAlignment="1" applyProtection="1">
      <alignment horizontal="center" vertical="center" wrapText="1"/>
      <protection locked="0" hidden="1"/>
    </xf>
    <xf numFmtId="41" fontId="7" fillId="4" borderId="3" xfId="6" applyFont="1" applyFill="1" applyBorder="1" applyAlignment="1" applyProtection="1">
      <alignment horizontal="center" vertical="center" wrapText="1"/>
      <protection hidden="1"/>
    </xf>
    <xf numFmtId="167" fontId="7" fillId="4" borderId="3" xfId="3" applyNumberFormat="1" applyFont="1" applyFill="1" applyBorder="1" applyAlignment="1" applyProtection="1">
      <alignment horizontal="center" vertical="center" wrapText="1"/>
      <protection locked="0" hidden="1"/>
    </xf>
    <xf numFmtId="41" fontId="6" fillId="0" borderId="3" xfId="6" applyFont="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41" fontId="7" fillId="4" borderId="3" xfId="6" applyFont="1" applyFill="1" applyBorder="1" applyAlignment="1" applyProtection="1">
      <alignment horizontal="center" vertical="center" wrapText="1"/>
      <protection locked="0" hidden="1"/>
    </xf>
    <xf numFmtId="0" fontId="6" fillId="4" borderId="3" xfId="0" applyFont="1" applyFill="1" applyBorder="1" applyAlignment="1" applyProtection="1">
      <alignment horizontal="center" vertical="center"/>
      <protection locked="0"/>
    </xf>
    <xf numFmtId="0" fontId="6" fillId="4" borderId="3" xfId="0" applyFont="1" applyFill="1" applyBorder="1" applyAlignment="1">
      <alignment horizontal="center" vertical="center"/>
    </xf>
    <xf numFmtId="41" fontId="6" fillId="4" borderId="3" xfId="6"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4" borderId="3" xfId="0" applyFont="1" applyFill="1" applyBorder="1" applyAlignment="1" applyProtection="1">
      <alignment horizontal="center" vertical="center" wrapText="1"/>
      <protection locked="0" hidden="1"/>
    </xf>
    <xf numFmtId="0" fontId="8" fillId="4" borderId="0" xfId="0" applyFont="1" applyFill="1" applyAlignment="1">
      <alignment horizontal="center" vertical="center" wrapText="1"/>
    </xf>
    <xf numFmtId="0" fontId="6" fillId="4" borderId="0" xfId="0" applyFont="1" applyFill="1" applyAlignment="1" applyProtection="1">
      <alignment horizontal="center" vertical="center" wrapText="1"/>
      <protection locked="0"/>
    </xf>
    <xf numFmtId="0" fontId="6" fillId="4" borderId="0" xfId="0" applyFont="1" applyFill="1" applyAlignment="1">
      <alignment horizontal="center" vertical="center" wrapText="1"/>
    </xf>
    <xf numFmtId="0" fontId="6" fillId="0" borderId="3" xfId="0" applyFont="1" applyBorder="1" applyAlignment="1" applyProtection="1">
      <alignment horizontal="center" vertical="center" wrapText="1"/>
      <protection locked="0"/>
    </xf>
    <xf numFmtId="0" fontId="0" fillId="4" borderId="0" xfId="0" applyFill="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3" xfId="0" applyFill="1" applyBorder="1" applyAlignment="1">
      <alignment horizontal="center" vertical="center"/>
    </xf>
    <xf numFmtId="0" fontId="0" fillId="4" borderId="0" xfId="0" applyFill="1" applyAlignment="1">
      <alignment horizontal="center" vertical="center"/>
    </xf>
    <xf numFmtId="0" fontId="6" fillId="4" borderId="0" xfId="0" applyFont="1" applyFill="1"/>
    <xf numFmtId="0" fontId="6" fillId="4" borderId="5" xfId="0" applyFont="1" applyFill="1" applyBorder="1"/>
    <xf numFmtId="0" fontId="6" fillId="4" borderId="0" xfId="0" applyFont="1" applyFill="1" applyAlignment="1">
      <alignment horizontal="center"/>
    </xf>
    <xf numFmtId="0" fontId="6" fillId="4" borderId="3" xfId="0" applyFont="1" applyFill="1" applyBorder="1"/>
    <xf numFmtId="0" fontId="6" fillId="4" borderId="8" xfId="0" applyFont="1" applyFill="1" applyBorder="1" applyAlignment="1">
      <alignment vertical="center"/>
    </xf>
    <xf numFmtId="0" fontId="6" fillId="4" borderId="0" xfId="0" applyFont="1" applyFill="1" applyAlignment="1">
      <alignment vertical="center"/>
    </xf>
    <xf numFmtId="0" fontId="6" fillId="4" borderId="5" xfId="0" applyFont="1" applyFill="1" applyBorder="1" applyAlignment="1">
      <alignment vertical="center"/>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6" fillId="4" borderId="0" xfId="0" applyFont="1" applyFill="1" applyAlignment="1">
      <alignment horizontal="left" vertical="center" wrapText="1"/>
    </xf>
    <xf numFmtId="0" fontId="8" fillId="4" borderId="0" xfId="0" applyFont="1" applyFill="1" applyAlignment="1">
      <alignment horizontal="left" vertical="center"/>
    </xf>
    <xf numFmtId="0" fontId="8" fillId="4" borderId="3" xfId="0" applyFont="1" applyFill="1" applyBorder="1" applyAlignment="1" applyProtection="1">
      <alignment horizontal="center" vertical="center" wrapText="1"/>
      <protection locked="0" hidden="1"/>
    </xf>
    <xf numFmtId="0" fontId="8" fillId="4" borderId="9" xfId="0" applyFont="1" applyFill="1" applyBorder="1" applyAlignment="1">
      <alignment horizontal="left" vertical="center" wrapText="1"/>
    </xf>
    <xf numFmtId="0" fontId="8" fillId="4" borderId="6" xfId="0" applyFont="1" applyFill="1" applyBorder="1" applyAlignment="1">
      <alignment horizontal="center" vertical="center" wrapText="1"/>
    </xf>
    <xf numFmtId="0" fontId="8" fillId="4" borderId="6" xfId="0" applyFont="1" applyFill="1" applyBorder="1" applyAlignment="1">
      <alignment vertical="center" wrapText="1"/>
    </xf>
    <xf numFmtId="0" fontId="6" fillId="4" borderId="6" xfId="0" applyFont="1" applyFill="1" applyBorder="1" applyAlignment="1">
      <alignment vertical="center"/>
    </xf>
    <xf numFmtId="0" fontId="8" fillId="4" borderId="7" xfId="0" applyFont="1" applyFill="1" applyBorder="1" applyAlignment="1">
      <alignment vertical="center" wrapText="1"/>
    </xf>
    <xf numFmtId="0" fontId="8" fillId="4" borderId="0" xfId="0" applyFont="1" applyFill="1" applyAlignment="1">
      <alignment vertical="center" wrapText="1"/>
    </xf>
    <xf numFmtId="0" fontId="8" fillId="4" borderId="5" xfId="0" applyFont="1" applyFill="1" applyBorder="1" applyAlignment="1">
      <alignment vertical="center" wrapText="1"/>
    </xf>
    <xf numFmtId="0" fontId="8" fillId="4" borderId="14"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9" fillId="5" borderId="3" xfId="4" applyFont="1" applyFill="1" applyBorder="1" applyAlignment="1">
      <alignment horizontal="center" vertical="center" wrapText="1"/>
    </xf>
    <xf numFmtId="0" fontId="6" fillId="4" borderId="3" xfId="0" applyFont="1" applyFill="1" applyBorder="1" applyAlignment="1" applyProtection="1">
      <alignment vertical="center" wrapText="1"/>
      <protection locked="0" hidden="1"/>
    </xf>
    <xf numFmtId="0" fontId="6" fillId="4" borderId="3" xfId="0" applyFont="1" applyFill="1" applyBorder="1" applyAlignment="1" applyProtection="1">
      <alignment horizontal="left" vertical="center" wrapText="1"/>
      <protection locked="0" hidden="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4" borderId="0" xfId="4" applyFont="1" applyFill="1" applyAlignment="1">
      <alignment horizontal="center" vertical="center" wrapText="1"/>
    </xf>
    <xf numFmtId="0" fontId="6" fillId="4" borderId="0" xfId="0" applyFont="1" applyFill="1" applyAlignment="1">
      <alignment horizontal="center" vertical="center"/>
    </xf>
    <xf numFmtId="0" fontId="6" fillId="4" borderId="0" xfId="0" applyFont="1" applyFill="1" applyAlignment="1" applyProtection="1">
      <alignment vertical="center"/>
      <protection locked="0" hidden="1"/>
    </xf>
    <xf numFmtId="0" fontId="7" fillId="4" borderId="3" xfId="4" applyFont="1" applyFill="1" applyBorder="1" applyAlignment="1" applyProtection="1">
      <alignment horizontal="center" vertical="center" wrapText="1"/>
      <protection locked="0" hidden="1"/>
    </xf>
    <xf numFmtId="0" fontId="7" fillId="4" borderId="3" xfId="4" applyFont="1" applyFill="1" applyBorder="1" applyAlignment="1" applyProtection="1">
      <alignment horizontal="left" vertical="center" wrapText="1"/>
      <protection locked="0" hidden="1"/>
    </xf>
    <xf numFmtId="0" fontId="6" fillId="4" borderId="9" xfId="0" applyFont="1" applyFill="1" applyBorder="1" applyAlignment="1">
      <alignment vertical="center"/>
    </xf>
    <xf numFmtId="0" fontId="6" fillId="4" borderId="7" xfId="0" applyFont="1" applyFill="1" applyBorder="1" applyAlignment="1">
      <alignment vertical="center"/>
    </xf>
    <xf numFmtId="0" fontId="10" fillId="0" borderId="3" xfId="0" applyFont="1" applyBorder="1" applyAlignment="1">
      <alignment wrapText="1"/>
    </xf>
    <xf numFmtId="169" fontId="11"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0" fillId="0" borderId="3" xfId="0" applyFont="1" applyBorder="1" applyAlignment="1">
      <alignment vertical="center"/>
    </xf>
    <xf numFmtId="0" fontId="10" fillId="0" borderId="12" xfId="0" applyFont="1" applyBorder="1" applyAlignment="1">
      <alignment horizontal="left" vertical="center"/>
    </xf>
    <xf numFmtId="0" fontId="11" fillId="0" borderId="12" xfId="0" applyFont="1" applyBorder="1" applyAlignment="1">
      <alignment horizontal="center" vertical="center"/>
    </xf>
    <xf numFmtId="0" fontId="10" fillId="0" borderId="12" xfId="0" applyFont="1" applyBorder="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0" xfId="0" applyFont="1" applyAlignment="1" applyProtection="1">
      <alignment horizontal="center" vertical="center" wrapText="1"/>
      <protection locked="0"/>
    </xf>
    <xf numFmtId="0" fontId="13" fillId="0" borderId="0" xfId="0" applyFont="1" applyAlignment="1">
      <alignment horizontal="left" vertical="center" wrapText="1"/>
    </xf>
    <xf numFmtId="0" fontId="0" fillId="0" borderId="0" xfId="0" applyProtection="1">
      <protection locked="0"/>
    </xf>
    <xf numFmtId="0" fontId="14" fillId="0" borderId="3"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3" xfId="0" applyFont="1" applyBorder="1" applyAlignment="1">
      <alignment horizontal="center" vertical="center"/>
    </xf>
    <xf numFmtId="41" fontId="14" fillId="0" borderId="3" xfId="6" applyFont="1" applyBorder="1" applyAlignment="1" applyProtection="1">
      <alignment horizontal="center" vertical="center"/>
      <protection locked="0"/>
    </xf>
    <xf numFmtId="41" fontId="14" fillId="0" borderId="3" xfId="6" applyFont="1" applyBorder="1" applyAlignment="1" applyProtection="1">
      <alignment horizontal="center" vertical="center"/>
    </xf>
    <xf numFmtId="170" fontId="14" fillId="0" borderId="3" xfId="6" applyNumberFormat="1" applyFont="1" applyBorder="1" applyAlignment="1" applyProtection="1">
      <alignment horizontal="center" vertical="center"/>
      <protection locked="0"/>
    </xf>
    <xf numFmtId="170" fontId="14" fillId="0" borderId="3" xfId="6" applyNumberFormat="1" applyFont="1" applyBorder="1" applyAlignment="1" applyProtection="1">
      <alignment horizontal="center" vertical="center"/>
    </xf>
    <xf numFmtId="0" fontId="14" fillId="0" borderId="3" xfId="0" applyFont="1" applyBorder="1" applyAlignment="1">
      <alignment horizontal="center" vertical="center" wrapText="1"/>
    </xf>
    <xf numFmtId="0" fontId="14" fillId="4" borderId="3" xfId="0" applyFont="1" applyFill="1" applyBorder="1" applyAlignment="1" applyProtection="1">
      <alignment horizontal="center" vertical="center" wrapText="1"/>
      <protection locked="0"/>
    </xf>
    <xf numFmtId="0" fontId="15" fillId="0" borderId="0" xfId="0" applyFont="1" applyProtection="1">
      <protection locked="0"/>
    </xf>
    <xf numFmtId="0" fontId="16" fillId="0" borderId="3" xfId="0" applyFont="1" applyBorder="1" applyAlignment="1" applyProtection="1">
      <alignment horizontal="center" vertical="center"/>
      <protection locked="0"/>
    </xf>
    <xf numFmtId="0" fontId="16" fillId="0" borderId="3" xfId="0" applyFont="1" applyBorder="1" applyAlignment="1" applyProtection="1">
      <alignment horizontal="center" vertical="center" wrapText="1"/>
      <protection locked="0"/>
    </xf>
    <xf numFmtId="0" fontId="14" fillId="4" borderId="3" xfId="0" applyFont="1" applyFill="1" applyBorder="1" applyAlignment="1" applyProtection="1">
      <alignment horizontal="center" vertical="center"/>
      <protection locked="0"/>
    </xf>
    <xf numFmtId="41" fontId="14" fillId="4" borderId="3" xfId="6" applyFont="1" applyFill="1" applyBorder="1" applyAlignment="1" applyProtection="1">
      <alignment horizontal="center" vertical="center"/>
    </xf>
    <xf numFmtId="170" fontId="16" fillId="0" borderId="3" xfId="0" applyNumberFormat="1" applyFont="1" applyBorder="1" applyAlignment="1" applyProtection="1">
      <alignment horizontal="center" vertical="center"/>
      <protection locked="0"/>
    </xf>
    <xf numFmtId="41" fontId="14" fillId="4" borderId="3" xfId="6" applyFont="1" applyFill="1" applyBorder="1" applyAlignment="1" applyProtection="1">
      <alignment horizontal="center" vertical="center" wrapText="1"/>
      <protection locked="0"/>
    </xf>
    <xf numFmtId="170" fontId="14" fillId="4" borderId="3" xfId="6"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lignment horizontal="center" vertical="center"/>
    </xf>
    <xf numFmtId="0" fontId="17" fillId="4" borderId="3" xfId="0" applyFont="1" applyFill="1" applyBorder="1" applyAlignment="1" applyProtection="1">
      <alignment horizontal="center" vertical="center" wrapText="1"/>
      <protection locked="0"/>
    </xf>
    <xf numFmtId="0" fontId="0" fillId="4" borderId="0" xfId="0" applyFill="1" applyProtection="1">
      <protection locked="0"/>
    </xf>
    <xf numFmtId="0" fontId="0" fillId="0" borderId="0" xfId="0" applyAlignment="1" applyProtection="1">
      <alignment horizontal="center"/>
      <protection locked="0"/>
    </xf>
    <xf numFmtId="168" fontId="0" fillId="0" borderId="0" xfId="6" applyNumberFormat="1" applyFont="1" applyProtection="1">
      <protection locked="0"/>
    </xf>
    <xf numFmtId="41" fontId="0" fillId="0" borderId="0" xfId="6" applyFont="1" applyProtection="1">
      <protection locked="0"/>
    </xf>
    <xf numFmtId="0" fontId="0" fillId="0" borderId="0" xfId="0" applyAlignment="1" applyProtection="1">
      <alignment horizontal="center" wrapText="1"/>
      <protection locked="0"/>
    </xf>
    <xf numFmtId="170" fontId="0" fillId="0" borderId="0" xfId="0" applyNumberFormat="1" applyAlignment="1" applyProtection="1">
      <alignment horizontal="center"/>
      <protection locked="0"/>
    </xf>
    <xf numFmtId="0" fontId="14" fillId="4" borderId="3" xfId="0" applyFont="1" applyFill="1" applyBorder="1" applyAlignment="1">
      <alignment horizontal="center" vertical="center"/>
    </xf>
    <xf numFmtId="41" fontId="14" fillId="4" borderId="3" xfId="6" applyFont="1" applyFill="1" applyBorder="1" applyAlignment="1" applyProtection="1">
      <alignment horizontal="center" vertical="center"/>
      <protection locked="0"/>
    </xf>
    <xf numFmtId="170" fontId="14" fillId="4" borderId="3" xfId="6" applyNumberFormat="1" applyFont="1" applyFill="1" applyBorder="1" applyAlignment="1" applyProtection="1">
      <alignment horizontal="center" vertical="center"/>
      <protection locked="0"/>
    </xf>
    <xf numFmtId="170" fontId="14" fillId="4" borderId="3" xfId="6" applyNumberFormat="1" applyFont="1" applyFill="1" applyBorder="1" applyAlignment="1" applyProtection="1">
      <alignment horizontal="center" vertical="center"/>
    </xf>
    <xf numFmtId="0" fontId="14" fillId="4" borderId="3" xfId="0" applyFont="1" applyFill="1" applyBorder="1" applyAlignment="1">
      <alignment horizontal="center" vertical="center" wrapText="1"/>
    </xf>
    <xf numFmtId="170" fontId="14" fillId="4" borderId="3" xfId="0" applyNumberFormat="1" applyFont="1" applyFill="1" applyBorder="1" applyAlignment="1">
      <alignment horizontal="center" vertical="center"/>
    </xf>
    <xf numFmtId="0" fontId="16" fillId="4" borderId="3" xfId="0" applyFont="1" applyFill="1" applyBorder="1" applyAlignment="1" applyProtection="1">
      <alignment horizontal="center" vertical="center" wrapText="1"/>
      <protection locked="0"/>
    </xf>
    <xf numFmtId="168" fontId="14" fillId="4" borderId="3" xfId="6" applyNumberFormat="1" applyFont="1" applyFill="1" applyBorder="1" applyAlignment="1" applyProtection="1">
      <alignment horizontal="center" vertical="center"/>
      <protection locked="0"/>
    </xf>
    <xf numFmtId="41" fontId="0" fillId="4" borderId="0" xfId="6" applyFont="1" applyFill="1" applyProtection="1">
      <protection locked="0"/>
    </xf>
    <xf numFmtId="0" fontId="0" fillId="4" borderId="0" xfId="0" applyFill="1" applyAlignment="1" applyProtection="1">
      <alignment horizontal="center"/>
      <protection locked="0"/>
    </xf>
    <xf numFmtId="0" fontId="0" fillId="4" borderId="0" xfId="0" applyFill="1" applyAlignment="1" applyProtection="1">
      <alignment horizontal="center" wrapText="1"/>
      <protection locked="0"/>
    </xf>
    <xf numFmtId="0" fontId="0" fillId="4" borderId="0" xfId="0" applyFill="1" applyAlignment="1" applyProtection="1">
      <alignment wrapText="1"/>
      <protection locked="0"/>
    </xf>
    <xf numFmtId="170" fontId="0" fillId="4" borderId="0" xfId="0" applyNumberFormat="1" applyFill="1" applyAlignment="1" applyProtection="1">
      <alignment horizontal="center"/>
      <protection locked="0"/>
    </xf>
    <xf numFmtId="0" fontId="17" fillId="4" borderId="3" xfId="0" applyFont="1" applyFill="1" applyBorder="1" applyAlignment="1" applyProtection="1">
      <alignment horizontal="center" vertical="center"/>
      <protection locked="0"/>
    </xf>
    <xf numFmtId="0" fontId="18" fillId="4" borderId="0" xfId="0" applyFont="1" applyFill="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8" fillId="4" borderId="0" xfId="0" applyFont="1" applyFill="1" applyAlignment="1" applyProtection="1">
      <alignment horizontal="center" vertical="center" wrapText="1"/>
      <protection locked="0"/>
    </xf>
    <xf numFmtId="0" fontId="19" fillId="5" borderId="3" xfId="0" applyFont="1" applyFill="1" applyBorder="1" applyAlignment="1" applyProtection="1">
      <alignment horizontal="center" vertical="center" wrapText="1"/>
      <protection locked="0"/>
    </xf>
    <xf numFmtId="0" fontId="19" fillId="8" borderId="3" xfId="0" applyFont="1" applyFill="1" applyBorder="1" applyAlignment="1" applyProtection="1">
      <alignment horizontal="center" vertical="center" wrapText="1"/>
      <protection locked="0"/>
    </xf>
    <xf numFmtId="0" fontId="19" fillId="9" borderId="3" xfId="0" applyFont="1" applyFill="1" applyBorder="1" applyAlignment="1">
      <alignment horizontal="center" vertical="center" wrapText="1"/>
    </xf>
    <xf numFmtId="0" fontId="20" fillId="9" borderId="3" xfId="0" applyFont="1" applyFill="1" applyBorder="1" applyAlignment="1" applyProtection="1">
      <alignment horizontal="center" vertical="center" wrapText="1"/>
      <protection locked="0"/>
    </xf>
    <xf numFmtId="0" fontId="19" fillId="9" borderId="3" xfId="0" applyFont="1" applyFill="1" applyBorder="1" applyAlignment="1" applyProtection="1">
      <alignment horizontal="center" vertical="center" wrapText="1"/>
      <protection locked="0"/>
    </xf>
    <xf numFmtId="0" fontId="19" fillId="7" borderId="3" xfId="2" applyFont="1" applyFill="1" applyBorder="1" applyAlignment="1" applyProtection="1">
      <alignment horizontal="center" vertical="center" wrapText="1"/>
      <protection locked="0"/>
    </xf>
    <xf numFmtId="0" fontId="19" fillId="4" borderId="0" xfId="0" applyFont="1" applyFill="1" applyAlignment="1">
      <alignment horizontal="center" vertical="center"/>
    </xf>
    <xf numFmtId="0" fontId="18" fillId="4" borderId="0" xfId="2" applyFont="1" applyFill="1" applyAlignment="1" applyProtection="1">
      <alignment horizontal="center" vertical="center" wrapText="1"/>
      <protection locked="0"/>
    </xf>
    <xf numFmtId="0" fontId="19" fillId="4" borderId="0" xfId="0" applyFont="1" applyFill="1" applyAlignment="1" applyProtection="1">
      <alignment horizontal="center" vertical="center"/>
      <protection locked="0" hidden="1"/>
    </xf>
    <xf numFmtId="0" fontId="18" fillId="4" borderId="3" xfId="0" applyFont="1" applyFill="1" applyBorder="1" applyAlignment="1" applyProtection="1">
      <alignment horizontal="center" vertical="center" wrapText="1"/>
      <protection locked="0" hidden="1"/>
    </xf>
    <xf numFmtId="0" fontId="19" fillId="4" borderId="0" xfId="0" applyFont="1" applyFill="1" applyAlignment="1" applyProtection="1">
      <alignment horizontal="center" vertical="center"/>
      <protection hidden="1"/>
    </xf>
    <xf numFmtId="0" fontId="19" fillId="6" borderId="3" xfId="0" applyFont="1" applyFill="1" applyBorder="1" applyAlignment="1" applyProtection="1">
      <alignment horizontal="center" vertical="center"/>
      <protection locked="0" hidden="1"/>
    </xf>
    <xf numFmtId="0" fontId="19" fillId="4" borderId="3"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wrapText="1"/>
      <protection locked="0"/>
    </xf>
    <xf numFmtId="0" fontId="19" fillId="4" borderId="0" xfId="0" applyFont="1" applyFill="1" applyAlignment="1">
      <alignment horizontal="center" vertical="center" wrapText="1"/>
    </xf>
    <xf numFmtId="0" fontId="18" fillId="4" borderId="3" xfId="2" applyFont="1" applyFill="1" applyBorder="1" applyAlignment="1" applyProtection="1">
      <alignment horizontal="center" vertical="center" wrapText="1"/>
      <protection locked="0"/>
    </xf>
    <xf numFmtId="0" fontId="22" fillId="19" borderId="3" xfId="0" applyFont="1" applyFill="1" applyBorder="1" applyAlignment="1" applyProtection="1">
      <alignment horizontal="center" vertical="center"/>
      <protection locked="0"/>
    </xf>
    <xf numFmtId="0" fontId="9" fillId="4" borderId="19" xfId="1" applyFont="1" applyFill="1" applyBorder="1" applyAlignment="1" applyProtection="1">
      <alignment horizontal="left" vertical="center" wrapText="1"/>
      <protection locked="0" hidden="1"/>
    </xf>
    <xf numFmtId="0" fontId="8" fillId="4"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protection locked="0" hidden="1"/>
    </xf>
    <xf numFmtId="0" fontId="8" fillId="4" borderId="6" xfId="0" applyFont="1" applyFill="1" applyBorder="1" applyAlignment="1">
      <alignment horizontal="left" vertical="center" wrapText="1"/>
    </xf>
    <xf numFmtId="0" fontId="10" fillId="0" borderId="0" xfId="0" applyFont="1" applyAlignment="1">
      <alignment wrapText="1"/>
    </xf>
    <xf numFmtId="0" fontId="10" fillId="0" borderId="0" xfId="0" applyFont="1"/>
    <xf numFmtId="0" fontId="10" fillId="0" borderId="3" xfId="0" applyFont="1" applyBorder="1"/>
    <xf numFmtId="0" fontId="10" fillId="20" borderId="3" xfId="0" applyFont="1" applyFill="1" applyBorder="1" applyAlignment="1">
      <alignment wrapText="1"/>
    </xf>
    <xf numFmtId="0" fontId="10" fillId="20" borderId="3" xfId="0" applyFont="1" applyFill="1" applyBorder="1"/>
    <xf numFmtId="0" fontId="10" fillId="19" borderId="3" xfId="0" applyFont="1" applyFill="1" applyBorder="1" applyAlignment="1">
      <alignment wrapText="1"/>
    </xf>
    <xf numFmtId="0" fontId="10" fillId="21" borderId="3" xfId="0" applyFont="1" applyFill="1" applyBorder="1" applyAlignment="1">
      <alignment wrapText="1"/>
    </xf>
    <xf numFmtId="0" fontId="10" fillId="22" borderId="3" xfId="0" applyFont="1" applyFill="1" applyBorder="1" applyAlignment="1">
      <alignment wrapText="1"/>
    </xf>
    <xf numFmtId="0" fontId="10" fillId="23" borderId="3" xfId="0" applyFont="1" applyFill="1" applyBorder="1" applyAlignment="1">
      <alignment wrapText="1"/>
    </xf>
    <xf numFmtId="0" fontId="10" fillId="24" borderId="3" xfId="0" applyFont="1" applyFill="1" applyBorder="1" applyAlignment="1">
      <alignment wrapText="1"/>
    </xf>
    <xf numFmtId="0" fontId="10" fillId="23" borderId="3" xfId="0" applyFont="1" applyFill="1" applyBorder="1"/>
    <xf numFmtId="0" fontId="10" fillId="5" borderId="3" xfId="0" applyFont="1" applyFill="1" applyBorder="1"/>
    <xf numFmtId="0" fontId="10" fillId="25" borderId="3" xfId="0" applyFont="1" applyFill="1" applyBorder="1"/>
    <xf numFmtId="0" fontId="19" fillId="0" borderId="3" xfId="2" applyFont="1" applyBorder="1" applyAlignment="1" applyProtection="1">
      <alignment horizontal="center" vertical="center" wrapText="1"/>
      <protection locked="0"/>
    </xf>
    <xf numFmtId="171" fontId="17" fillId="0" borderId="3" xfId="6" applyNumberFormat="1" applyFont="1" applyFill="1" applyBorder="1" applyAlignment="1" applyProtection="1">
      <alignment horizontal="center" vertical="center"/>
    </xf>
    <xf numFmtId="0" fontId="9" fillId="19" borderId="3" xfId="4" applyFont="1" applyFill="1" applyBorder="1" applyAlignment="1">
      <alignment horizontal="center" vertical="center" wrapText="1"/>
    </xf>
    <xf numFmtId="0" fontId="23" fillId="26" borderId="21" xfId="0" applyFont="1" applyFill="1" applyBorder="1" applyAlignment="1">
      <alignment horizontal="center" vertical="center"/>
    </xf>
    <xf numFmtId="167" fontId="24" fillId="4" borderId="3" xfId="10" applyNumberFormat="1" applyFont="1" applyFill="1" applyBorder="1" applyAlignment="1">
      <alignment horizontal="center" vertical="center" wrapText="1" readingOrder="1"/>
    </xf>
    <xf numFmtId="167" fontId="0" fillId="4" borderId="3" xfId="10" applyNumberFormat="1" applyFont="1" applyFill="1" applyBorder="1"/>
    <xf numFmtId="167" fontId="0" fillId="0" borderId="3" xfId="10" applyNumberFormat="1" applyFont="1" applyBorder="1" applyAlignment="1">
      <alignment wrapText="1"/>
    </xf>
    <xf numFmtId="0" fontId="23" fillId="10" borderId="22" xfId="0" applyFont="1" applyFill="1" applyBorder="1" applyAlignment="1">
      <alignment horizontal="center" vertical="center"/>
    </xf>
    <xf numFmtId="0" fontId="23" fillId="10" borderId="22" xfId="0" applyFont="1" applyFill="1" applyBorder="1" applyAlignment="1">
      <alignment horizontal="center" vertical="center" wrapText="1"/>
    </xf>
    <xf numFmtId="172" fontId="0" fillId="0" borderId="22" xfId="10" applyNumberFormat="1" applyFont="1" applyFill="1" applyBorder="1"/>
    <xf numFmtId="0" fontId="10" fillId="27" borderId="3" xfId="0" applyFont="1" applyFill="1" applyBorder="1" applyAlignment="1">
      <alignment wrapText="1"/>
    </xf>
    <xf numFmtId="0" fontId="10" fillId="6" borderId="3" xfId="0" applyFont="1" applyFill="1" applyBorder="1" applyAlignment="1">
      <alignment wrapText="1"/>
    </xf>
    <xf numFmtId="167" fontId="0" fillId="0" borderId="22" xfId="10" applyNumberFormat="1" applyFont="1" applyFill="1" applyBorder="1"/>
    <xf numFmtId="0" fontId="10" fillId="27" borderId="22" xfId="0" applyFont="1" applyFill="1" applyBorder="1"/>
    <xf numFmtId="0" fontId="10" fillId="27" borderId="23" xfId="0" applyFont="1" applyFill="1" applyBorder="1"/>
    <xf numFmtId="0" fontId="10" fillId="27" borderId="24" xfId="0" applyFont="1" applyFill="1" applyBorder="1" applyAlignment="1">
      <alignment wrapText="1"/>
    </xf>
    <xf numFmtId="172" fontId="0" fillId="27" borderId="22" xfId="10" applyNumberFormat="1" applyFont="1" applyFill="1" applyBorder="1"/>
    <xf numFmtId="0" fontId="17" fillId="0" borderId="3" xfId="0" applyFont="1" applyBorder="1" applyAlignment="1">
      <alignment horizontal="center" vertical="center" wrapText="1"/>
    </xf>
    <xf numFmtId="170" fontId="17" fillId="0" borderId="3" xfId="0" applyNumberFormat="1" applyFont="1" applyBorder="1" applyAlignment="1">
      <alignment horizontal="center" vertical="center"/>
    </xf>
    <xf numFmtId="0" fontId="17" fillId="0" borderId="3" xfId="0" applyFont="1" applyBorder="1" applyAlignment="1" applyProtection="1">
      <alignment horizontal="center" vertical="center"/>
      <protection locked="0"/>
    </xf>
    <xf numFmtId="0" fontId="25" fillId="4" borderId="3" xfId="12" applyFill="1" applyBorder="1" applyAlignment="1" applyProtection="1">
      <alignment horizontal="center" vertical="center" wrapText="1"/>
      <protection locked="0"/>
    </xf>
    <xf numFmtId="0" fontId="25" fillId="0" borderId="3" xfId="12" applyBorder="1" applyAlignment="1" applyProtection="1">
      <alignment horizontal="center" vertical="center" wrapText="1"/>
      <protection locked="0"/>
    </xf>
    <xf numFmtId="167" fontId="17" fillId="0" borderId="3" xfId="10" applyNumberFormat="1" applyFont="1" applyFill="1" applyBorder="1" applyAlignment="1" applyProtection="1">
      <alignment horizontal="center" vertical="center" wrapText="1"/>
      <protection locked="0"/>
    </xf>
    <xf numFmtId="170" fontId="14" fillId="0" borderId="3" xfId="0" applyNumberFormat="1" applyFont="1" applyBorder="1" applyAlignment="1">
      <alignment horizontal="center" vertical="center"/>
    </xf>
    <xf numFmtId="49" fontId="17" fillId="0" borderId="3" xfId="11" applyFont="1" applyFill="1" applyBorder="1" applyAlignment="1" applyProtection="1">
      <alignment horizontal="center" vertical="center" wrapText="1"/>
      <protection locked="0"/>
    </xf>
    <xf numFmtId="170" fontId="17" fillId="0" borderId="3" xfId="10" applyNumberFormat="1" applyFont="1" applyFill="1" applyBorder="1" applyAlignment="1" applyProtection="1">
      <alignment horizontal="center" vertical="center" wrapText="1"/>
      <protection locked="0"/>
    </xf>
    <xf numFmtId="170" fontId="17" fillId="0" borderId="3" xfId="10" applyNumberFormat="1" applyFont="1" applyFill="1" applyBorder="1" applyAlignment="1" applyProtection="1">
      <alignment horizontal="center" vertical="center"/>
      <protection locked="0"/>
    </xf>
    <xf numFmtId="170" fontId="17" fillId="0" borderId="3" xfId="0" applyNumberFormat="1" applyFont="1" applyBorder="1" applyAlignment="1">
      <alignment horizontal="center" vertical="center" wrapText="1"/>
    </xf>
    <xf numFmtId="41" fontId="22" fillId="4" borderId="0" xfId="6" applyFont="1" applyFill="1" applyProtection="1">
      <protection locked="0"/>
    </xf>
    <xf numFmtId="1" fontId="14" fillId="0" borderId="3" xfId="0" applyNumberFormat="1" applyFont="1" applyBorder="1" applyAlignment="1" applyProtection="1">
      <alignment horizontal="center" vertical="center"/>
      <protection locked="0"/>
    </xf>
    <xf numFmtId="41" fontId="14" fillId="0" borderId="3" xfId="0" applyNumberFormat="1" applyFont="1" applyBorder="1" applyAlignment="1" applyProtection="1">
      <alignment horizontal="center" vertical="center" wrapText="1"/>
      <protection locked="0"/>
    </xf>
    <xf numFmtId="0" fontId="25" fillId="0" borderId="3" xfId="12" applyFill="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5" fillId="0" borderId="3" xfId="12" applyBorder="1" applyAlignment="1">
      <alignment horizontal="center" vertical="center" wrapText="1"/>
    </xf>
    <xf numFmtId="172" fontId="0" fillId="21" borderId="22" xfId="10" applyNumberFormat="1" applyFont="1" applyFill="1" applyBorder="1"/>
    <xf numFmtId="170" fontId="14" fillId="0" borderId="3" xfId="6" applyNumberFormat="1" applyFont="1" applyFill="1" applyBorder="1" applyAlignment="1" applyProtection="1">
      <alignment horizontal="center" vertical="center"/>
      <protection locked="0"/>
    </xf>
    <xf numFmtId="49" fontId="14" fillId="0" borderId="16" xfId="7" applyFont="1" applyFill="1" applyBorder="1" applyAlignment="1" applyProtection="1">
      <alignment horizontal="center" vertical="center" wrapText="1"/>
      <protection locked="0"/>
    </xf>
    <xf numFmtId="170" fontId="14" fillId="0" borderId="3" xfId="6" applyNumberFormat="1" applyFont="1" applyFill="1" applyBorder="1" applyAlignment="1" applyProtection="1">
      <alignment horizontal="center" vertical="center" wrapText="1"/>
      <protection locked="0"/>
    </xf>
    <xf numFmtId="0" fontId="17" fillId="0" borderId="3" xfId="0" applyFont="1" applyBorder="1" applyAlignment="1">
      <alignment horizontal="center" wrapText="1"/>
    </xf>
    <xf numFmtId="173" fontId="14" fillId="0" borderId="3" xfId="14" applyNumberFormat="1" applyFont="1" applyBorder="1" applyAlignment="1" applyProtection="1">
      <alignment horizontal="center" vertical="center"/>
    </xf>
    <xf numFmtId="173" fontId="14" fillId="0" borderId="3" xfId="14" applyNumberFormat="1" applyFont="1" applyBorder="1" applyAlignment="1" applyProtection="1">
      <alignment horizontal="center" vertical="center"/>
      <protection locked="0"/>
    </xf>
    <xf numFmtId="173" fontId="14" fillId="0" borderId="3" xfId="14" applyNumberFormat="1" applyFont="1" applyFill="1" applyBorder="1" applyAlignment="1" applyProtection="1">
      <alignment horizontal="center" vertical="center"/>
    </xf>
    <xf numFmtId="173" fontId="14" fillId="0" borderId="3" xfId="14" applyNumberFormat="1" applyFont="1" applyFill="1" applyBorder="1" applyAlignment="1" applyProtection="1">
      <alignment horizontal="center" vertical="center" wrapText="1"/>
      <protection locked="0"/>
    </xf>
    <xf numFmtId="173" fontId="14" fillId="4" borderId="3" xfId="14" applyNumberFormat="1" applyFont="1" applyFill="1" applyBorder="1" applyAlignment="1" applyProtection="1">
      <alignment horizontal="center" vertical="center" wrapText="1"/>
      <protection locked="0"/>
    </xf>
    <xf numFmtId="167" fontId="10" fillId="0" borderId="3" xfId="0" applyNumberFormat="1" applyFont="1" applyBorder="1"/>
    <xf numFmtId="0" fontId="14" fillId="0" borderId="15"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4" borderId="3" xfId="0" applyFont="1" applyFill="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41" fontId="27" fillId="4" borderId="3" xfId="6" applyFont="1" applyFill="1" applyBorder="1" applyAlignment="1" applyProtection="1">
      <alignment horizontal="center" vertical="center"/>
    </xf>
    <xf numFmtId="170" fontId="17" fillId="4" borderId="3" xfId="6" applyNumberFormat="1" applyFont="1" applyFill="1" applyBorder="1" applyAlignment="1" applyProtection="1">
      <alignment horizontal="center" vertical="center"/>
    </xf>
    <xf numFmtId="170" fontId="27" fillId="4" borderId="3" xfId="6" applyNumberFormat="1" applyFont="1" applyFill="1" applyBorder="1" applyAlignment="1" applyProtection="1">
      <alignment horizontal="center" vertical="center"/>
    </xf>
    <xf numFmtId="0" fontId="0" fillId="0" borderId="3" xfId="0" applyBorder="1" applyAlignment="1" applyProtection="1">
      <alignment horizontal="center" vertical="center" wrapText="1"/>
      <protection locked="0"/>
    </xf>
    <xf numFmtId="0" fontId="28" fillId="0" borderId="27"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7" fillId="0" borderId="3" xfId="0" applyFont="1" applyBorder="1" applyAlignment="1">
      <alignment horizontal="center" vertical="top" wrapText="1"/>
    </xf>
    <xf numFmtId="0" fontId="29" fillId="17" borderId="3" xfId="0" applyFont="1" applyFill="1" applyBorder="1" applyAlignment="1" applyProtection="1">
      <alignment horizontal="center" vertical="center" wrapText="1"/>
      <protection locked="0"/>
    </xf>
    <xf numFmtId="0" fontId="29" fillId="12" borderId="3" xfId="0" applyFont="1" applyFill="1" applyBorder="1" applyAlignment="1" applyProtection="1">
      <alignment horizontal="center" vertical="center" wrapText="1"/>
      <protection locked="0"/>
    </xf>
    <xf numFmtId="168" fontId="29" fillId="12" borderId="3" xfId="6" applyNumberFormat="1" applyFont="1" applyFill="1" applyBorder="1" applyAlignment="1" applyProtection="1">
      <alignment horizontal="center" vertical="center" wrapText="1"/>
      <protection locked="0"/>
    </xf>
    <xf numFmtId="41" fontId="29" fillId="12" borderId="3" xfId="6" applyFont="1" applyFill="1" applyBorder="1" applyAlignment="1" applyProtection="1">
      <alignment horizontal="center" vertical="center" wrapText="1"/>
      <protection locked="0"/>
    </xf>
    <xf numFmtId="41" fontId="29" fillId="12" borderId="3" xfId="6" applyFont="1" applyFill="1" applyBorder="1" applyAlignment="1" applyProtection="1">
      <alignment horizontal="center" vertical="center" wrapText="1"/>
    </xf>
    <xf numFmtId="0" fontId="29" fillId="11" borderId="3" xfId="0" quotePrefix="1" applyFont="1" applyFill="1" applyBorder="1" applyAlignment="1" applyProtection="1">
      <alignment horizontal="center" vertical="center" wrapText="1"/>
      <protection locked="0"/>
    </xf>
    <xf numFmtId="0" fontId="29" fillId="13" borderId="3" xfId="0" applyFont="1" applyFill="1" applyBorder="1" applyAlignment="1" applyProtection="1">
      <alignment horizontal="center" vertical="center" wrapText="1"/>
      <protection locked="0"/>
    </xf>
    <xf numFmtId="0" fontId="29" fillId="14" borderId="3" xfId="0" applyFont="1" applyFill="1" applyBorder="1" applyAlignment="1" applyProtection="1">
      <alignment horizontal="center" vertical="center" wrapText="1"/>
      <protection locked="0"/>
    </xf>
    <xf numFmtId="0" fontId="29" fillId="15" borderId="3" xfId="0" applyFont="1" applyFill="1" applyBorder="1" applyAlignment="1" applyProtection="1">
      <alignment horizontal="center" vertical="center" wrapText="1"/>
      <protection locked="0"/>
    </xf>
    <xf numFmtId="0" fontId="29" fillId="15" borderId="3" xfId="10" applyNumberFormat="1" applyFont="1" applyFill="1" applyBorder="1" applyAlignment="1" applyProtection="1">
      <alignment horizontal="center" vertical="center" wrapText="1"/>
      <protection locked="0"/>
    </xf>
    <xf numFmtId="0" fontId="30" fillId="0" borderId="0" xfId="0" applyFont="1" applyProtection="1">
      <protection locked="0"/>
    </xf>
    <xf numFmtId="0" fontId="31" fillId="16" borderId="3" xfId="0" applyFont="1" applyFill="1" applyBorder="1" applyAlignment="1" applyProtection="1">
      <alignment horizontal="center" vertical="center" wrapText="1"/>
      <protection locked="0"/>
    </xf>
    <xf numFmtId="0" fontId="12" fillId="2" borderId="4" xfId="0" applyFont="1" applyFill="1" applyBorder="1" applyAlignment="1">
      <alignment horizontal="center"/>
    </xf>
    <xf numFmtId="0" fontId="12" fillId="2" borderId="12" xfId="0" applyFont="1" applyFill="1" applyBorder="1" applyAlignment="1">
      <alignment horizontal="center"/>
    </xf>
    <xf numFmtId="0" fontId="19" fillId="9" borderId="3" xfId="0" applyFont="1" applyFill="1" applyBorder="1" applyAlignment="1">
      <alignment horizontal="center" vertical="center" wrapText="1"/>
    </xf>
    <xf numFmtId="0" fontId="8" fillId="18" borderId="11" xfId="0" applyFont="1" applyFill="1" applyBorder="1" applyAlignment="1">
      <alignment vertical="center" wrapText="1"/>
    </xf>
    <xf numFmtId="0" fontId="8" fillId="18" borderId="10" xfId="0" applyFont="1" applyFill="1" applyBorder="1" applyAlignment="1">
      <alignment vertical="center" wrapText="1"/>
    </xf>
    <xf numFmtId="0" fontId="8" fillId="18" borderId="12" xfId="0" applyFont="1" applyFill="1" applyBorder="1" applyAlignment="1">
      <alignment vertical="center" wrapText="1"/>
    </xf>
    <xf numFmtId="0" fontId="8" fillId="4"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right" vertical="center"/>
    </xf>
    <xf numFmtId="0" fontId="8" fillId="4" borderId="19" xfId="0" applyFont="1" applyFill="1" applyBorder="1" applyAlignment="1">
      <alignment horizontal="right"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9" fillId="5" borderId="3" xfId="4" applyFont="1" applyFill="1" applyBorder="1" applyAlignment="1">
      <alignment horizontal="center" vertical="center" wrapText="1"/>
    </xf>
    <xf numFmtId="0" fontId="9" fillId="4" borderId="0" xfId="4" applyFont="1" applyFill="1" applyAlignment="1">
      <alignment horizontal="center" vertical="center" wrapText="1"/>
    </xf>
    <xf numFmtId="0" fontId="9" fillId="5" borderId="15" xfId="4" applyFont="1" applyFill="1" applyBorder="1" applyAlignment="1">
      <alignment horizontal="center" vertical="center" wrapText="1"/>
    </xf>
    <xf numFmtId="0" fontId="9" fillId="5" borderId="16" xfId="4" applyFont="1" applyFill="1" applyBorder="1" applyAlignment="1">
      <alignment horizontal="center" vertical="center" wrapText="1"/>
    </xf>
    <xf numFmtId="0" fontId="9" fillId="5" borderId="4" xfId="4" applyFont="1" applyFill="1" applyBorder="1" applyAlignment="1">
      <alignment horizontal="center" vertical="center" wrapText="1"/>
    </xf>
    <xf numFmtId="0" fontId="9" fillId="5" borderId="10" xfId="4" applyFont="1" applyFill="1" applyBorder="1" applyAlignment="1">
      <alignment horizontal="center" vertical="center" wrapText="1"/>
    </xf>
    <xf numFmtId="0" fontId="9" fillId="5" borderId="12" xfId="4" applyFont="1" applyFill="1" applyBorder="1" applyAlignment="1">
      <alignment horizontal="center" vertical="center" wrapText="1"/>
    </xf>
    <xf numFmtId="0" fontId="7" fillId="4" borderId="3" xfId="4" applyFont="1" applyFill="1" applyBorder="1" applyAlignment="1" applyProtection="1">
      <alignment horizontal="center" vertical="center" wrapText="1"/>
      <protection locked="0" hidden="1"/>
    </xf>
    <xf numFmtId="0" fontId="7" fillId="4" borderId="13" xfId="4" applyFont="1" applyFill="1" applyBorder="1" applyAlignment="1" applyProtection="1">
      <alignment horizontal="center" vertical="center" wrapText="1"/>
      <protection locked="0" hidden="1"/>
    </xf>
    <xf numFmtId="0" fontId="7" fillId="4" borderId="0" xfId="4" applyFont="1" applyFill="1" applyAlignment="1" applyProtection="1">
      <alignment horizontal="center" vertical="center" wrapText="1"/>
      <protection locked="0" hidden="1"/>
    </xf>
    <xf numFmtId="2" fontId="6" fillId="4" borderId="4" xfId="0" applyNumberFormat="1" applyFont="1" applyFill="1" applyBorder="1" applyAlignment="1" applyProtection="1">
      <alignment horizontal="center" vertical="center" wrapText="1"/>
      <protection locked="0" hidden="1"/>
    </xf>
    <xf numFmtId="2" fontId="6" fillId="4" borderId="12" xfId="0" applyNumberFormat="1" applyFont="1" applyFill="1" applyBorder="1" applyAlignment="1" applyProtection="1">
      <alignment horizontal="center" vertical="center" wrapText="1"/>
      <protection locked="0" hidden="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6" fillId="4" borderId="4" xfId="0" applyFont="1" applyFill="1" applyBorder="1" applyAlignment="1" applyProtection="1">
      <alignment horizontal="center" vertical="center" wrapText="1"/>
      <protection locked="0" hidden="1"/>
    </xf>
    <xf numFmtId="0" fontId="6" fillId="4" borderId="12" xfId="0" applyFont="1" applyFill="1" applyBorder="1" applyAlignment="1" applyProtection="1">
      <alignment horizontal="center" vertical="center" wrapText="1"/>
      <protection locked="0" hidden="1"/>
    </xf>
    <xf numFmtId="0" fontId="6" fillId="4" borderId="4" xfId="0" applyFont="1" applyFill="1" applyBorder="1" applyAlignment="1">
      <alignment horizontal="center"/>
    </xf>
    <xf numFmtId="0" fontId="6" fillId="4" borderId="12" xfId="0" applyFont="1" applyFill="1" applyBorder="1" applyAlignment="1">
      <alignment horizontal="center"/>
    </xf>
  </cellXfs>
  <cellStyles count="16">
    <cellStyle name="BodyStyle" xfId="7" xr:uid="{00000000-0005-0000-0000-000000000000}"/>
    <cellStyle name="BodyStyle 3" xfId="11" xr:uid="{33CA48E8-4AFE-4532-94AC-4232A88B1B0C}"/>
    <cellStyle name="HeaderStyle" xfId="5" xr:uid="{00000000-0005-0000-0000-000001000000}"/>
    <cellStyle name="Hipervínculo" xfId="12" builtinId="8"/>
    <cellStyle name="Hyperlink" xfId="15" xr:uid="{846B63B5-0C5A-4B18-AFD0-92AABC6E9ECD}"/>
    <cellStyle name="Millares" xfId="10" builtinId="3"/>
    <cellStyle name="Millares [0]" xfId="6" builtinId="6"/>
    <cellStyle name="Millares [0] 2" xfId="9" xr:uid="{00000000-0005-0000-0000-000004000000}"/>
    <cellStyle name="Millares 10" xfId="3" xr:uid="{00000000-0005-0000-0000-000005000000}"/>
    <cellStyle name="Millares 2" xfId="8" xr:uid="{00000000-0005-0000-0000-000006000000}"/>
    <cellStyle name="Moneda" xfId="14" builtinId="4"/>
    <cellStyle name="Moneda [0] 2" xfId="13" xr:uid="{CA8DE378-52D9-43CB-9925-074176B56A93}"/>
    <cellStyle name="Normal" xfId="0" builtinId="0"/>
    <cellStyle name="Normal 3" xfId="1" xr:uid="{00000000-0005-0000-0000-000008000000}"/>
    <cellStyle name="Normal 3 2" xfId="4" xr:uid="{00000000-0005-0000-0000-000009000000}"/>
    <cellStyle name="Normal 8" xfId="2" xr:uid="{00000000-0005-0000-0000-00000A000000}"/>
  </cellStyles>
  <dxfs count="252">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color rgb="FFCF9F97"/>
      <color rgb="FF9691D5"/>
      <color rgb="FFB0FC6A"/>
      <color rgb="FFB09DC9"/>
      <color rgb="FFA7BF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nder.pantoja/Desktop/GESTI&#211;N%202024%20ALEXANDER%20PANTOJA/PROGRAMACI&#211;N%20PRESUPUESTAL%202024/INICIAL%20PAA%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ego%20Moreno/Downloads/Copia%20de%20PAA%2027122020%20FORTALECI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ego%20Moreno/Downloads/PAA%202021%2028%2012%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rchivogeneral-my.sharepoint.com/personal/jsalguero_archivogeneral_gov_co/Documents/Evidencias%20Procedimientos/04.%20Mayo/PAA%20versi&#243;n%205052020_sistemas%20-%20May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xander.pantoja/Desktop/Reuni&#243;n%20distribuci&#243;n%2023_10_2023/VERSIONES%20ACTUALIZADAS%20DICIEMBRE/5.%20FUNCIONAMIENTO%202024%20PLE-FO-06%20FORMATO%20DE%20SOLICITUD%20DE%20RECURSOS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PAA 2024"/>
      <sheetName val="Proyectos nuev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A"/>
      <sheetName val="PROYECTOS"/>
      <sheetName val="DATOS"/>
    </sheetNames>
    <sheetDataSet>
      <sheetData sheetId="0"/>
      <sheetData sheetId="1"/>
      <sheetData sheetId="2">
        <row r="2">
          <cell r="E2" t="str">
            <v>PROYECTO</v>
          </cell>
        </row>
      </sheetData>
      <sheetData sheetId="3">
        <row r="2">
          <cell r="E2" t="str">
            <v>PROYECTO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os"/>
      <sheetName val="PAA"/>
      <sheetName val="PROYECTOS"/>
      <sheetName val="DATOS"/>
    </sheetNames>
    <sheetDataSet>
      <sheetData sheetId="0"/>
      <sheetData sheetId="1"/>
      <sheetData sheetId="2">
        <row r="2">
          <cell r="E2" t="str">
            <v>PROYECTO</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Proyectos nuevos"/>
      <sheetName val="PAA ABRIL"/>
      <sheetName val="COMPARATIVO"/>
      <sheetName val="COMPROMISOS"/>
      <sheetName val="Datos"/>
    </sheetNames>
    <sheetDataSet>
      <sheetData sheetId="0"/>
      <sheetData sheetId="1"/>
      <sheetData sheetId="2">
        <row r="3">
          <cell r="L3" t="str">
            <v>Modernización digital de archivos y la gestión documental electrónica nacional</v>
          </cell>
        </row>
      </sheetData>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ATOS"/>
      <sheetName val="PROGRAMACIÓN 2024 FUNCIONAMIENT"/>
      <sheetName val="REPROGRAMACIÓN PPTAL"/>
      <sheetName val="REPROGRAMACIÓN CONTRACTUAL"/>
    </sheetNames>
    <sheetDataSet>
      <sheetData sheetId="0" refreshError="1"/>
      <sheetData sheetId="1">
        <row r="2">
          <cell r="E2" t="str">
            <v>PROYECTO</v>
          </cell>
        </row>
      </sheetData>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jose.hernandez@archivogeneral.gov.co" TargetMode="External"/><Relationship Id="rId21" Type="http://schemas.openxmlformats.org/officeDocument/2006/relationships/hyperlink" Target="mailto:paula.villamizar@archivogeneral.gov.co" TargetMode="External"/><Relationship Id="rId42" Type="http://schemas.openxmlformats.org/officeDocument/2006/relationships/hyperlink" Target="mailto:gloribel.rodriguez@archivogeneral.gov.co" TargetMode="External"/><Relationship Id="rId63" Type="http://schemas.openxmlformats.org/officeDocument/2006/relationships/hyperlink" Target="mailto:gloribel.rodriguez@archivogeneral.gov.co" TargetMode="External"/><Relationship Id="rId84" Type="http://schemas.openxmlformats.org/officeDocument/2006/relationships/hyperlink" Target="mailto:laura.sanchez@archivogeneral.gov.co" TargetMode="External"/><Relationship Id="rId138" Type="http://schemas.openxmlformats.org/officeDocument/2006/relationships/hyperlink" Target="mailto:yennyfer.bayona@archivogeneral.gov.co" TargetMode="External"/><Relationship Id="rId159" Type="http://schemas.openxmlformats.org/officeDocument/2006/relationships/hyperlink" Target="mailto:adela.diaz@archivogeneral.gov.co" TargetMode="External"/><Relationship Id="rId107" Type="http://schemas.openxmlformats.org/officeDocument/2006/relationships/hyperlink" Target="mailto:jose.hernandez@archivogeneral.gov.co" TargetMode="External"/><Relationship Id="rId11" Type="http://schemas.openxmlformats.org/officeDocument/2006/relationships/hyperlink" Target="mailto:paula.villamizar@archivogeneral.gov.co" TargetMode="External"/><Relationship Id="rId32" Type="http://schemas.openxmlformats.org/officeDocument/2006/relationships/hyperlink" Target="mailto:paula.villamizar@archivogeneral.gov.co" TargetMode="External"/><Relationship Id="rId53" Type="http://schemas.openxmlformats.org/officeDocument/2006/relationships/hyperlink" Target="mailto:gloribel.rodriguez@archivogeneral.gov.co" TargetMode="External"/><Relationship Id="rId74" Type="http://schemas.openxmlformats.org/officeDocument/2006/relationships/hyperlink" Target="mailto:laura.sanchez@archivogeneral.gov.co" TargetMode="External"/><Relationship Id="rId128" Type="http://schemas.openxmlformats.org/officeDocument/2006/relationships/hyperlink" Target="mailto:yennyfer.bayona@archivogeneral.gov.co" TargetMode="External"/><Relationship Id="rId149" Type="http://schemas.openxmlformats.org/officeDocument/2006/relationships/hyperlink" Target="mailto:yennyfer.bayona@archivogeneral.gov.co" TargetMode="External"/><Relationship Id="rId5" Type="http://schemas.openxmlformats.org/officeDocument/2006/relationships/hyperlink" Target="mailto:gloribel.rodriguez@archivogeneral.gov.co" TargetMode="External"/><Relationship Id="rId95" Type="http://schemas.openxmlformats.org/officeDocument/2006/relationships/hyperlink" Target="mailto:laura.sanchez@archivogeneral.gov.co" TargetMode="External"/><Relationship Id="rId160" Type="http://schemas.openxmlformats.org/officeDocument/2006/relationships/hyperlink" Target="mailto:adela.diaz@archivogeneral.gov.co" TargetMode="External"/><Relationship Id="rId22" Type="http://schemas.openxmlformats.org/officeDocument/2006/relationships/hyperlink" Target="mailto:paula.villamizar@archivogeneral.gov.co" TargetMode="External"/><Relationship Id="rId43" Type="http://schemas.openxmlformats.org/officeDocument/2006/relationships/hyperlink" Target="mailto:gloribel.rodriguez@archivogeneral.gov.co" TargetMode="External"/><Relationship Id="rId64" Type="http://schemas.openxmlformats.org/officeDocument/2006/relationships/hyperlink" Target="mailto:gloribel.rodriguez@archivogeneral.gov.co" TargetMode="External"/><Relationship Id="rId118" Type="http://schemas.openxmlformats.org/officeDocument/2006/relationships/hyperlink" Target="mailto:jose.hernandez@archivogeneral.gov.co" TargetMode="External"/><Relationship Id="rId139" Type="http://schemas.openxmlformats.org/officeDocument/2006/relationships/hyperlink" Target="mailto:yennyfer.bayona@archivogeneral.gov.co" TargetMode="External"/><Relationship Id="rId85" Type="http://schemas.openxmlformats.org/officeDocument/2006/relationships/hyperlink" Target="mailto:laura.sanchez@archivogeneral.gov.co" TargetMode="External"/><Relationship Id="rId150" Type="http://schemas.openxmlformats.org/officeDocument/2006/relationships/hyperlink" Target="mailto:andrea.prieto@archivogeneral.gov.co" TargetMode="External"/><Relationship Id="rId12" Type="http://schemas.openxmlformats.org/officeDocument/2006/relationships/hyperlink" Target="mailto:paula.villamizar@archivogeneral.gov.co" TargetMode="External"/><Relationship Id="rId17" Type="http://schemas.openxmlformats.org/officeDocument/2006/relationships/hyperlink" Target="mailto:paula.villamizar@archivogeneral.gov.co" TargetMode="External"/><Relationship Id="rId33" Type="http://schemas.openxmlformats.org/officeDocument/2006/relationships/hyperlink" Target="mailto:paula.villamizar@archivogeneral.gov.co" TargetMode="External"/><Relationship Id="rId38" Type="http://schemas.openxmlformats.org/officeDocument/2006/relationships/hyperlink" Target="mailto:gloribel.rodriguez@archivogeneral.gov.co" TargetMode="External"/><Relationship Id="rId59" Type="http://schemas.openxmlformats.org/officeDocument/2006/relationships/hyperlink" Target="mailto:gloribel.rodriguez@archivogeneral.gov.co" TargetMode="External"/><Relationship Id="rId103" Type="http://schemas.openxmlformats.org/officeDocument/2006/relationships/hyperlink" Target="mailto:jorge.carrasquilla@archivogeneral.gov.co" TargetMode="External"/><Relationship Id="rId108" Type="http://schemas.openxmlformats.org/officeDocument/2006/relationships/hyperlink" Target="mailto:jose.hernandez@archivogeneral.gov.co" TargetMode="External"/><Relationship Id="rId124" Type="http://schemas.openxmlformats.org/officeDocument/2006/relationships/hyperlink" Target="mailto:jose.hernandez@archivogeneral.gov.co" TargetMode="External"/><Relationship Id="rId129" Type="http://schemas.openxmlformats.org/officeDocument/2006/relationships/hyperlink" Target="mailto:yennyfer.bayona@archivogeneral.gov.co" TargetMode="External"/><Relationship Id="rId54" Type="http://schemas.openxmlformats.org/officeDocument/2006/relationships/hyperlink" Target="mailto:adela.diaz@archivogeneral.gov.co" TargetMode="External"/><Relationship Id="rId70" Type="http://schemas.openxmlformats.org/officeDocument/2006/relationships/hyperlink" Target="mailto:luz.ariza@archivogeneral.gov.co" TargetMode="External"/><Relationship Id="rId75" Type="http://schemas.openxmlformats.org/officeDocument/2006/relationships/hyperlink" Target="mailto:laura.sanchez@archivogeneral.gov.co" TargetMode="External"/><Relationship Id="rId91" Type="http://schemas.openxmlformats.org/officeDocument/2006/relationships/hyperlink" Target="mailto:laura.sanchez@archivogeneral.gov.co" TargetMode="External"/><Relationship Id="rId96" Type="http://schemas.openxmlformats.org/officeDocument/2006/relationships/hyperlink" Target="mailto:laura.sanchez@archivogeneral.gov.co" TargetMode="External"/><Relationship Id="rId140" Type="http://schemas.openxmlformats.org/officeDocument/2006/relationships/hyperlink" Target="mailto:yennyfer.bayona@archivogeneral.gov.co" TargetMode="External"/><Relationship Id="rId145" Type="http://schemas.openxmlformats.org/officeDocument/2006/relationships/hyperlink" Target="mailto:yennyfer.bayona@archivogeneral.gov.co" TargetMode="External"/><Relationship Id="rId161" Type="http://schemas.openxmlformats.org/officeDocument/2006/relationships/hyperlink" Target="mailto:andrea.prieto@archivogeneral.gov.co" TargetMode="External"/><Relationship Id="rId1" Type="http://schemas.openxmlformats.org/officeDocument/2006/relationships/hyperlink" Target="mailto:adela.diaz@archivogeneral.gov.co" TargetMode="External"/><Relationship Id="rId6" Type="http://schemas.openxmlformats.org/officeDocument/2006/relationships/hyperlink" Target="mailto:gloribel.rodriguez@archivogeneral.gov.co" TargetMode="External"/><Relationship Id="rId23" Type="http://schemas.openxmlformats.org/officeDocument/2006/relationships/hyperlink" Target="mailto:paula.villamizar@archivogeneral.gov.co" TargetMode="External"/><Relationship Id="rId28" Type="http://schemas.openxmlformats.org/officeDocument/2006/relationships/hyperlink" Target="mailto:paula.villamizar@archivogeneral.gov.co" TargetMode="External"/><Relationship Id="rId49" Type="http://schemas.openxmlformats.org/officeDocument/2006/relationships/hyperlink" Target="mailto:gloribel.rodriguez@archivogeneral.gov.co" TargetMode="External"/><Relationship Id="rId114" Type="http://schemas.openxmlformats.org/officeDocument/2006/relationships/hyperlink" Target="mailto:jose.hernandez@archivogeneral.gov.co" TargetMode="External"/><Relationship Id="rId119" Type="http://schemas.openxmlformats.org/officeDocument/2006/relationships/hyperlink" Target="mailto:jose.hernandez@archivogeneral.gov.co" TargetMode="External"/><Relationship Id="rId44" Type="http://schemas.openxmlformats.org/officeDocument/2006/relationships/hyperlink" Target="mailto:gloribel.rodriguez@archivogeneral.gov.co" TargetMode="External"/><Relationship Id="rId60" Type="http://schemas.openxmlformats.org/officeDocument/2006/relationships/hyperlink" Target="mailto:gloribel.rodriguez@archivogeneral.gov.co" TargetMode="External"/><Relationship Id="rId65" Type="http://schemas.openxmlformats.org/officeDocument/2006/relationships/hyperlink" Target="mailto:luz.ariza@archivogeneral.gov.co" TargetMode="External"/><Relationship Id="rId81" Type="http://schemas.openxmlformats.org/officeDocument/2006/relationships/hyperlink" Target="mailto:laura.sanchez@archivogeneral.gov.co" TargetMode="External"/><Relationship Id="rId86" Type="http://schemas.openxmlformats.org/officeDocument/2006/relationships/hyperlink" Target="mailto:laura.sanchez@archivogeneral.gov.co" TargetMode="External"/><Relationship Id="rId130" Type="http://schemas.openxmlformats.org/officeDocument/2006/relationships/hyperlink" Target="mailto:yennyfer.bayona@archivogeneral.gov.co" TargetMode="External"/><Relationship Id="rId135" Type="http://schemas.openxmlformats.org/officeDocument/2006/relationships/hyperlink" Target="mailto:yennyfer.bayona@archivogeneral.gov.co" TargetMode="External"/><Relationship Id="rId151" Type="http://schemas.openxmlformats.org/officeDocument/2006/relationships/hyperlink" Target="mailto:Jorge.carrasquilla@archivogeneral.gov.co" TargetMode="External"/><Relationship Id="rId156" Type="http://schemas.openxmlformats.org/officeDocument/2006/relationships/hyperlink" Target="mailto:juan.conde@archivogeneral.gov.co" TargetMode="External"/><Relationship Id="rId13" Type="http://schemas.openxmlformats.org/officeDocument/2006/relationships/hyperlink" Target="mailto:paula.villamizar@archivogeneral.gov.co" TargetMode="External"/><Relationship Id="rId18" Type="http://schemas.openxmlformats.org/officeDocument/2006/relationships/hyperlink" Target="mailto:paula.villamizar@archivogeneral.gov.co" TargetMode="External"/><Relationship Id="rId39" Type="http://schemas.openxmlformats.org/officeDocument/2006/relationships/hyperlink" Target="mailto:gloribel.rodriguez@archivogeneral.gov.co" TargetMode="External"/><Relationship Id="rId109" Type="http://schemas.openxmlformats.org/officeDocument/2006/relationships/hyperlink" Target="mailto:jose.hernandez@archivogeneral.gov.co" TargetMode="External"/><Relationship Id="rId34" Type="http://schemas.openxmlformats.org/officeDocument/2006/relationships/hyperlink" Target="mailto:paula.villamizar@archivogeneral.gov.co" TargetMode="External"/><Relationship Id="rId50" Type="http://schemas.openxmlformats.org/officeDocument/2006/relationships/hyperlink" Target="mailto:gloribel.rodriguez@archivogeneral.gov.co" TargetMode="External"/><Relationship Id="rId55" Type="http://schemas.openxmlformats.org/officeDocument/2006/relationships/hyperlink" Target="mailto:adela.diaz@archivogeneral.gov.co" TargetMode="External"/><Relationship Id="rId76" Type="http://schemas.openxmlformats.org/officeDocument/2006/relationships/hyperlink" Target="mailto:laura.sanchez@archivogeneral.gov.co" TargetMode="External"/><Relationship Id="rId97" Type="http://schemas.openxmlformats.org/officeDocument/2006/relationships/hyperlink" Target="mailto:laura.sanchez@archivogeneral.gov.co" TargetMode="External"/><Relationship Id="rId104" Type="http://schemas.openxmlformats.org/officeDocument/2006/relationships/hyperlink" Target="mailto:jose.hernandez@archivogeneral.gov.co" TargetMode="External"/><Relationship Id="rId120" Type="http://schemas.openxmlformats.org/officeDocument/2006/relationships/hyperlink" Target="mailto:jose.hernandez@archivogeneral.gov.co" TargetMode="External"/><Relationship Id="rId125" Type="http://schemas.openxmlformats.org/officeDocument/2006/relationships/hyperlink" Target="mailto:jose.hernandez@archivogeneral.gov.co" TargetMode="External"/><Relationship Id="rId141" Type="http://schemas.openxmlformats.org/officeDocument/2006/relationships/hyperlink" Target="mailto:yennyfer.bayona@archivogeneral.gov.co" TargetMode="External"/><Relationship Id="rId146" Type="http://schemas.openxmlformats.org/officeDocument/2006/relationships/hyperlink" Target="mailto:yennyfer.bayona@archivogeneral.gov.co" TargetMode="External"/><Relationship Id="rId7" Type="http://schemas.openxmlformats.org/officeDocument/2006/relationships/hyperlink" Target="mailto:gloribel.rodriguez@archivogeneral.gov.co" TargetMode="External"/><Relationship Id="rId71" Type="http://schemas.openxmlformats.org/officeDocument/2006/relationships/hyperlink" Target="mailto:luz.ariza@archivogeneral.gov.co" TargetMode="External"/><Relationship Id="rId92" Type="http://schemas.openxmlformats.org/officeDocument/2006/relationships/hyperlink" Target="mailto:laura.sanchez@archivogeneral.gov.co" TargetMode="External"/><Relationship Id="rId162" Type="http://schemas.openxmlformats.org/officeDocument/2006/relationships/hyperlink" Target="mailto:yennyfer.bayona@archivogeneral.gov.co" TargetMode="External"/><Relationship Id="rId2" Type="http://schemas.openxmlformats.org/officeDocument/2006/relationships/hyperlink" Target="mailto:adela.diaz@archivogeneral.gov.co" TargetMode="External"/><Relationship Id="rId29" Type="http://schemas.openxmlformats.org/officeDocument/2006/relationships/hyperlink" Target="mailto:paula.villamizar@archivogeneral.gov.co" TargetMode="External"/><Relationship Id="rId24" Type="http://schemas.openxmlformats.org/officeDocument/2006/relationships/hyperlink" Target="mailto:paula.villamizar@archivogeneral.gov.co" TargetMode="External"/><Relationship Id="rId40" Type="http://schemas.openxmlformats.org/officeDocument/2006/relationships/hyperlink" Target="mailto:gloribel.rodriguez@archivogeneral.gov.co" TargetMode="External"/><Relationship Id="rId45" Type="http://schemas.openxmlformats.org/officeDocument/2006/relationships/hyperlink" Target="mailto:gloribel.rodriguez@archivogeneral.gov.co" TargetMode="External"/><Relationship Id="rId66" Type="http://schemas.openxmlformats.org/officeDocument/2006/relationships/hyperlink" Target="mailto:luz.ariza@archivogeneral.gov.co" TargetMode="External"/><Relationship Id="rId87" Type="http://schemas.openxmlformats.org/officeDocument/2006/relationships/hyperlink" Target="mailto:laura.sanchez@archivogeneral.gov.co" TargetMode="External"/><Relationship Id="rId110" Type="http://schemas.openxmlformats.org/officeDocument/2006/relationships/hyperlink" Target="mailto:jose.hernandez@archivogeneral.gov.co" TargetMode="External"/><Relationship Id="rId115" Type="http://schemas.openxmlformats.org/officeDocument/2006/relationships/hyperlink" Target="mailto:jose.hernandez@archivogeneral.gov.co" TargetMode="External"/><Relationship Id="rId131" Type="http://schemas.openxmlformats.org/officeDocument/2006/relationships/hyperlink" Target="mailto:yennyfer.bayona@archivogeneral.gov.co" TargetMode="External"/><Relationship Id="rId136" Type="http://schemas.openxmlformats.org/officeDocument/2006/relationships/hyperlink" Target="mailto:yennyfer.bayona@archivogeneral.gov.co" TargetMode="External"/><Relationship Id="rId157" Type="http://schemas.openxmlformats.org/officeDocument/2006/relationships/hyperlink" Target="mailto:luz.ariza@archivogeneral.gov.co" TargetMode="External"/><Relationship Id="rId61" Type="http://schemas.openxmlformats.org/officeDocument/2006/relationships/hyperlink" Target="mailto:gloribel.rodriguez@archivogeneral.gov.co" TargetMode="External"/><Relationship Id="rId82" Type="http://schemas.openxmlformats.org/officeDocument/2006/relationships/hyperlink" Target="mailto:laura.sanchez@archivogeneral.gov.co" TargetMode="External"/><Relationship Id="rId152" Type="http://schemas.openxmlformats.org/officeDocument/2006/relationships/hyperlink" Target="mailto:andrea.prieto@archivogeneral.gov.co" TargetMode="External"/><Relationship Id="rId19" Type="http://schemas.openxmlformats.org/officeDocument/2006/relationships/hyperlink" Target="mailto:paula.villamizar@archivogeneral.gov.co" TargetMode="External"/><Relationship Id="rId14" Type="http://schemas.openxmlformats.org/officeDocument/2006/relationships/hyperlink" Target="mailto:paula.villamizar@archivogeneral.gov.co" TargetMode="External"/><Relationship Id="rId30" Type="http://schemas.openxmlformats.org/officeDocument/2006/relationships/hyperlink" Target="mailto:paula.villamizar@archivogeneral.gov.co" TargetMode="External"/><Relationship Id="rId35" Type="http://schemas.openxmlformats.org/officeDocument/2006/relationships/hyperlink" Target="mailto:paula.villamizar@archivogeneral.gov.co" TargetMode="External"/><Relationship Id="rId56" Type="http://schemas.openxmlformats.org/officeDocument/2006/relationships/hyperlink" Target="mailto:adela.diaz@archivogeneral.gov.co" TargetMode="External"/><Relationship Id="rId77" Type="http://schemas.openxmlformats.org/officeDocument/2006/relationships/hyperlink" Target="mailto:laura.sanchez@archivogeneral.gov.co" TargetMode="External"/><Relationship Id="rId100" Type="http://schemas.openxmlformats.org/officeDocument/2006/relationships/hyperlink" Target="mailto:jorge.carrasquilla@archivogeneral.gov.co" TargetMode="External"/><Relationship Id="rId105" Type="http://schemas.openxmlformats.org/officeDocument/2006/relationships/hyperlink" Target="mailto:jose.hernandez@archivogeneral.gov.co" TargetMode="External"/><Relationship Id="rId126" Type="http://schemas.openxmlformats.org/officeDocument/2006/relationships/hyperlink" Target="mailto:jose.hernandez@archivogeneral.gov.co" TargetMode="External"/><Relationship Id="rId147" Type="http://schemas.openxmlformats.org/officeDocument/2006/relationships/hyperlink" Target="mailto:yennyfer.bayona@archivogeneral.gov.co" TargetMode="External"/><Relationship Id="rId8" Type="http://schemas.openxmlformats.org/officeDocument/2006/relationships/hyperlink" Target="mailto:gloribel.rodriguez@archivogeneral.gov.co" TargetMode="External"/><Relationship Id="rId51" Type="http://schemas.openxmlformats.org/officeDocument/2006/relationships/hyperlink" Target="mailto:gloribel.rodriguez@archivogeneral.gov.co" TargetMode="External"/><Relationship Id="rId72" Type="http://schemas.openxmlformats.org/officeDocument/2006/relationships/hyperlink" Target="mailto:laura.sanchez@archivogeneral.gov.co" TargetMode="External"/><Relationship Id="rId93" Type="http://schemas.openxmlformats.org/officeDocument/2006/relationships/hyperlink" Target="mailto:laura.sanchez@archivogeneral.gov.co" TargetMode="External"/><Relationship Id="rId98" Type="http://schemas.openxmlformats.org/officeDocument/2006/relationships/hyperlink" Target="mailto:marcela.gasca@archivogeneral.gov.co" TargetMode="External"/><Relationship Id="rId121" Type="http://schemas.openxmlformats.org/officeDocument/2006/relationships/hyperlink" Target="mailto:jose.hernandez@archivogeneral.gov.co" TargetMode="External"/><Relationship Id="rId142" Type="http://schemas.openxmlformats.org/officeDocument/2006/relationships/hyperlink" Target="mailto:yennyfer.bayona@archivogeneral.gov.co" TargetMode="External"/><Relationship Id="rId163" Type="http://schemas.openxmlformats.org/officeDocument/2006/relationships/printerSettings" Target="../printerSettings/printerSettings3.bin"/><Relationship Id="rId3" Type="http://schemas.openxmlformats.org/officeDocument/2006/relationships/hyperlink" Target="mailto:gloribel.rodriguez@archivogeneral.gov.co" TargetMode="External"/><Relationship Id="rId25" Type="http://schemas.openxmlformats.org/officeDocument/2006/relationships/hyperlink" Target="mailto:paula.villamizar@archivogeneral.gov.co" TargetMode="External"/><Relationship Id="rId46" Type="http://schemas.openxmlformats.org/officeDocument/2006/relationships/hyperlink" Target="mailto:gloribel.rodriguez@archivogeneral.gov.co" TargetMode="External"/><Relationship Id="rId67" Type="http://schemas.openxmlformats.org/officeDocument/2006/relationships/hyperlink" Target="mailto:luz.ariza@archivogeneral.gov.co" TargetMode="External"/><Relationship Id="rId116" Type="http://schemas.openxmlformats.org/officeDocument/2006/relationships/hyperlink" Target="mailto:jose.hernandez@archivogeneral.gov.co" TargetMode="External"/><Relationship Id="rId137" Type="http://schemas.openxmlformats.org/officeDocument/2006/relationships/hyperlink" Target="mailto:yennyfer.bayona@archivogeneral.gov.co" TargetMode="External"/><Relationship Id="rId158" Type="http://schemas.openxmlformats.org/officeDocument/2006/relationships/hyperlink" Target="mailto:adela.diaz@archivogeneral.gov.co" TargetMode="External"/><Relationship Id="rId20" Type="http://schemas.openxmlformats.org/officeDocument/2006/relationships/hyperlink" Target="mailto:paula.villamizar@archivogeneral.gov.co" TargetMode="External"/><Relationship Id="rId41" Type="http://schemas.openxmlformats.org/officeDocument/2006/relationships/hyperlink" Target="mailto:gloribel.rodriguez@archivogeneral.gov.co" TargetMode="External"/><Relationship Id="rId62" Type="http://schemas.openxmlformats.org/officeDocument/2006/relationships/hyperlink" Target="mailto:gloribel.rodriguez@archivogeneral.gov.co" TargetMode="External"/><Relationship Id="rId83" Type="http://schemas.openxmlformats.org/officeDocument/2006/relationships/hyperlink" Target="mailto:laura.sanchez@archivogeneral.gov.co" TargetMode="External"/><Relationship Id="rId88" Type="http://schemas.openxmlformats.org/officeDocument/2006/relationships/hyperlink" Target="mailto:laura.sanchez@archivogeneral.gov.co" TargetMode="External"/><Relationship Id="rId111" Type="http://schemas.openxmlformats.org/officeDocument/2006/relationships/hyperlink" Target="mailto:jose.hernandez@archivogeneral.gov.co" TargetMode="External"/><Relationship Id="rId132" Type="http://schemas.openxmlformats.org/officeDocument/2006/relationships/hyperlink" Target="mailto:yennyfer.bayona@archivogeneral.gov.co" TargetMode="External"/><Relationship Id="rId153" Type="http://schemas.openxmlformats.org/officeDocument/2006/relationships/hyperlink" Target="mailto:alexandra.hurtado@archivogeneral.gov.co" TargetMode="External"/><Relationship Id="rId15" Type="http://schemas.openxmlformats.org/officeDocument/2006/relationships/hyperlink" Target="mailto:paula.villamizar@archivogeneral.gov.co" TargetMode="External"/><Relationship Id="rId36" Type="http://schemas.openxmlformats.org/officeDocument/2006/relationships/hyperlink" Target="mailto:paula.villamizar@archivogeneral.gov.co" TargetMode="External"/><Relationship Id="rId57" Type="http://schemas.openxmlformats.org/officeDocument/2006/relationships/hyperlink" Target="mailto:gloribel.rodriguez@archivogeneral.gov.co" TargetMode="External"/><Relationship Id="rId106" Type="http://schemas.openxmlformats.org/officeDocument/2006/relationships/hyperlink" Target="mailto:jose.hernandez@archivogeneral.gov.co" TargetMode="External"/><Relationship Id="rId127" Type="http://schemas.openxmlformats.org/officeDocument/2006/relationships/hyperlink" Target="mailto:yennyfer.bayona@archivogeneral.gov.co" TargetMode="External"/><Relationship Id="rId10" Type="http://schemas.openxmlformats.org/officeDocument/2006/relationships/hyperlink" Target="mailto:gloribel.rodriguez@archivogeneral.gov.co" TargetMode="External"/><Relationship Id="rId31" Type="http://schemas.openxmlformats.org/officeDocument/2006/relationships/hyperlink" Target="mailto:paula.villamizar@archivogeneral.gov.co" TargetMode="External"/><Relationship Id="rId52" Type="http://schemas.openxmlformats.org/officeDocument/2006/relationships/hyperlink" Target="mailto:gloribel.rodriguez@archivogeneral.gov.co" TargetMode="External"/><Relationship Id="rId73" Type="http://schemas.openxmlformats.org/officeDocument/2006/relationships/hyperlink" Target="mailto:laura.sanchez@archivogeneral.gov.co" TargetMode="External"/><Relationship Id="rId78" Type="http://schemas.openxmlformats.org/officeDocument/2006/relationships/hyperlink" Target="mailto:laura.sanchez@archivogeneral.gov.co" TargetMode="External"/><Relationship Id="rId94" Type="http://schemas.openxmlformats.org/officeDocument/2006/relationships/hyperlink" Target="mailto:laura.sanchez@archivogeneral.gov.co" TargetMode="External"/><Relationship Id="rId99" Type="http://schemas.openxmlformats.org/officeDocument/2006/relationships/hyperlink" Target="mailto:jorge.carrasquilla@archivogeneral.gov.co" TargetMode="External"/><Relationship Id="rId101" Type="http://schemas.openxmlformats.org/officeDocument/2006/relationships/hyperlink" Target="mailto:jorge.carrasquilla@archivogeneral.gov.co" TargetMode="External"/><Relationship Id="rId122" Type="http://schemas.openxmlformats.org/officeDocument/2006/relationships/hyperlink" Target="mailto:jose.hernandez@archivogeneral.gov.co" TargetMode="External"/><Relationship Id="rId143" Type="http://schemas.openxmlformats.org/officeDocument/2006/relationships/hyperlink" Target="mailto:yennyfer.bayona@archivogeneral.gov.co" TargetMode="External"/><Relationship Id="rId148" Type="http://schemas.openxmlformats.org/officeDocument/2006/relationships/hyperlink" Target="mailto:yennyfer.bayona@archivogeneral.gov.co" TargetMode="External"/><Relationship Id="rId164" Type="http://schemas.openxmlformats.org/officeDocument/2006/relationships/vmlDrawing" Target="../drawings/vmlDrawing2.vml"/><Relationship Id="rId4" Type="http://schemas.openxmlformats.org/officeDocument/2006/relationships/hyperlink" Target="mailto:gloribel.rodriguez@archivogeneral.gov.co" TargetMode="External"/><Relationship Id="rId9" Type="http://schemas.openxmlformats.org/officeDocument/2006/relationships/hyperlink" Target="mailto:gloribel.rodriguez@archivogeneral.gov.co" TargetMode="External"/><Relationship Id="rId26" Type="http://schemas.openxmlformats.org/officeDocument/2006/relationships/hyperlink" Target="mailto:paula.villamizar@archivogeneral.gov.co" TargetMode="External"/><Relationship Id="rId47" Type="http://schemas.openxmlformats.org/officeDocument/2006/relationships/hyperlink" Target="mailto:gloribel.rodriguez@archivogeneral.gov.co" TargetMode="External"/><Relationship Id="rId68" Type="http://schemas.openxmlformats.org/officeDocument/2006/relationships/hyperlink" Target="mailto:luz.ariza@archivogeneral.gov.co" TargetMode="External"/><Relationship Id="rId89" Type="http://schemas.openxmlformats.org/officeDocument/2006/relationships/hyperlink" Target="mailto:laura.sanchez@archivogeneral.gov.co" TargetMode="External"/><Relationship Id="rId112" Type="http://schemas.openxmlformats.org/officeDocument/2006/relationships/hyperlink" Target="mailto:jose.hernandez@archivogeneral.gov.co" TargetMode="External"/><Relationship Id="rId133" Type="http://schemas.openxmlformats.org/officeDocument/2006/relationships/hyperlink" Target="mailto:yennyfer.bayona@archivogeneral.gov.co" TargetMode="External"/><Relationship Id="rId154" Type="http://schemas.openxmlformats.org/officeDocument/2006/relationships/hyperlink" Target="mailto:damaris.sanchez@archivogeneral.gov.co" TargetMode="External"/><Relationship Id="rId16" Type="http://schemas.openxmlformats.org/officeDocument/2006/relationships/hyperlink" Target="mailto:paula.villamizar@archivogeneral.gov.co" TargetMode="External"/><Relationship Id="rId37" Type="http://schemas.openxmlformats.org/officeDocument/2006/relationships/hyperlink" Target="mailto:gloribel.rodriguez@archivogeneral.gov.co" TargetMode="External"/><Relationship Id="rId58" Type="http://schemas.openxmlformats.org/officeDocument/2006/relationships/hyperlink" Target="mailto:gloribel.rodriguez@archivogeneral.gov.co" TargetMode="External"/><Relationship Id="rId79" Type="http://schemas.openxmlformats.org/officeDocument/2006/relationships/hyperlink" Target="mailto:laura.sanchez@archivogeneral.gov.co" TargetMode="External"/><Relationship Id="rId102" Type="http://schemas.openxmlformats.org/officeDocument/2006/relationships/hyperlink" Target="mailto:jorge.carrasquilla@archivogeneral.gov.co" TargetMode="External"/><Relationship Id="rId123" Type="http://schemas.openxmlformats.org/officeDocument/2006/relationships/hyperlink" Target="mailto:jose.hernandez@archivogeneral.gov.co" TargetMode="External"/><Relationship Id="rId144" Type="http://schemas.openxmlformats.org/officeDocument/2006/relationships/hyperlink" Target="mailto:yennyfer.bayona@archivogeneral.gov.co" TargetMode="External"/><Relationship Id="rId90" Type="http://schemas.openxmlformats.org/officeDocument/2006/relationships/hyperlink" Target="mailto:laura.sanchez@archivogeneral.gov.co" TargetMode="External"/><Relationship Id="rId27" Type="http://schemas.openxmlformats.org/officeDocument/2006/relationships/hyperlink" Target="mailto:paula.villamizar@archivogeneral.gov.co" TargetMode="External"/><Relationship Id="rId48" Type="http://schemas.openxmlformats.org/officeDocument/2006/relationships/hyperlink" Target="mailto:gloribel.rodriguez@archivogeneral.gov.co" TargetMode="External"/><Relationship Id="rId69" Type="http://schemas.openxmlformats.org/officeDocument/2006/relationships/hyperlink" Target="mailto:luz.ariza@archivogeneral.gov.co" TargetMode="External"/><Relationship Id="rId113" Type="http://schemas.openxmlformats.org/officeDocument/2006/relationships/hyperlink" Target="mailto:jose.hernandez@archivogeneral.gov.co" TargetMode="External"/><Relationship Id="rId134" Type="http://schemas.openxmlformats.org/officeDocument/2006/relationships/hyperlink" Target="mailto:yennyfer.bayona@archivogeneral.gov.co" TargetMode="External"/><Relationship Id="rId80" Type="http://schemas.openxmlformats.org/officeDocument/2006/relationships/hyperlink" Target="mailto:laura.sanchez@archivogeneral.gov.co" TargetMode="External"/><Relationship Id="rId155" Type="http://schemas.openxmlformats.org/officeDocument/2006/relationships/hyperlink" Target="mailto:damaris.sanchez@archivogeneral.gov.c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nnyfer.bayona@archivogeneral.gov.co" TargetMode="External"/><Relationship Id="rId13" Type="http://schemas.openxmlformats.org/officeDocument/2006/relationships/hyperlink" Target="mailto:daniel.carvajal@archivogeneral.gov.co" TargetMode="External"/><Relationship Id="rId18" Type="http://schemas.openxmlformats.org/officeDocument/2006/relationships/hyperlink" Target="mailto:andrea.prieto@archiovogeneral.gov.co" TargetMode="External"/><Relationship Id="rId3" Type="http://schemas.openxmlformats.org/officeDocument/2006/relationships/hyperlink" Target="mailto:yennyfer.bayona@archivogeneral.gov.co" TargetMode="External"/><Relationship Id="rId21" Type="http://schemas.openxmlformats.org/officeDocument/2006/relationships/printerSettings" Target="../printerSettings/printerSettings4.bin"/><Relationship Id="rId7" Type="http://schemas.openxmlformats.org/officeDocument/2006/relationships/hyperlink" Target="mailto:yennyfer.bayona@archivogeneral.gov.co" TargetMode="External"/><Relationship Id="rId12" Type="http://schemas.openxmlformats.org/officeDocument/2006/relationships/hyperlink" Target="mailto:daniel.carvajal@archivogeneral.gov.co" TargetMode="External"/><Relationship Id="rId17" Type="http://schemas.openxmlformats.org/officeDocument/2006/relationships/hyperlink" Target="mailto:daniel.carvajal@archivogeneral.gov.co" TargetMode="External"/><Relationship Id="rId2" Type="http://schemas.openxmlformats.org/officeDocument/2006/relationships/hyperlink" Target="mailto:yennyfer.bayona@archivogeneral.gov.co" TargetMode="External"/><Relationship Id="rId16" Type="http://schemas.openxmlformats.org/officeDocument/2006/relationships/hyperlink" Target="mailto:daniel.carvajal@archivogeneral.gov.co" TargetMode="External"/><Relationship Id="rId20" Type="http://schemas.openxmlformats.org/officeDocument/2006/relationships/hyperlink" Target="mailto:andrea.prieto@archiovogeneral.gov.co" TargetMode="External"/><Relationship Id="rId1" Type="http://schemas.openxmlformats.org/officeDocument/2006/relationships/hyperlink" Target="mailto:damaris.sanchez@archivogeneral.gov.co" TargetMode="External"/><Relationship Id="rId6" Type="http://schemas.openxmlformats.org/officeDocument/2006/relationships/hyperlink" Target="mailto:yennyfer.bayona@archivogeneral.gov.co" TargetMode="External"/><Relationship Id="rId11" Type="http://schemas.openxmlformats.org/officeDocument/2006/relationships/hyperlink" Target="mailto:daniel.carvajal@archivogeneral.gov.co" TargetMode="External"/><Relationship Id="rId5" Type="http://schemas.openxmlformats.org/officeDocument/2006/relationships/hyperlink" Target="mailto:yennyfer.bayona@archivogeneral.gov.co" TargetMode="External"/><Relationship Id="rId15" Type="http://schemas.openxmlformats.org/officeDocument/2006/relationships/hyperlink" Target="mailto:daniel.carvajal@archivogeneral.gov.co" TargetMode="External"/><Relationship Id="rId10" Type="http://schemas.openxmlformats.org/officeDocument/2006/relationships/hyperlink" Target="mailto:yennyfer.bayona@archivogeneral.gov.co" TargetMode="External"/><Relationship Id="rId19" Type="http://schemas.openxmlformats.org/officeDocument/2006/relationships/hyperlink" Target="mailto:andrea.prieto@archiovogeneral.gov.co" TargetMode="External"/><Relationship Id="rId4" Type="http://schemas.openxmlformats.org/officeDocument/2006/relationships/hyperlink" Target="mailto:yennyfer.bayona@archivogeneral.gov.co" TargetMode="External"/><Relationship Id="rId9" Type="http://schemas.openxmlformats.org/officeDocument/2006/relationships/hyperlink" Target="mailto:yennyfer.bayona@archivogeneral.gov.co" TargetMode="External"/><Relationship Id="rId14" Type="http://schemas.openxmlformats.org/officeDocument/2006/relationships/hyperlink" Target="mailto:daniel.carvajal@archivogeneral.gov.co" TargetMode="External"/><Relationship Id="rId2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7"/>
  <sheetViews>
    <sheetView showGridLines="0" view="pageLayout" topLeftCell="B16" zoomScaleNormal="100" workbookViewId="0">
      <selection activeCell="C17" sqref="C17"/>
    </sheetView>
  </sheetViews>
  <sheetFormatPr baseColWidth="10" defaultRowHeight="14.4" x14ac:dyDescent="0.3"/>
  <cols>
    <col min="1" max="1" width="26.33203125" customWidth="1"/>
    <col min="2" max="2" width="111" customWidth="1"/>
  </cols>
  <sheetData>
    <row r="1" spans="1:2" x14ac:dyDescent="0.3">
      <c r="A1" s="218" t="s">
        <v>98</v>
      </c>
      <c r="B1" s="219"/>
    </row>
    <row r="2" spans="1:2" x14ac:dyDescent="0.3">
      <c r="A2" s="59" t="s">
        <v>69</v>
      </c>
      <c r="B2" s="62" t="s">
        <v>92</v>
      </c>
    </row>
    <row r="3" spans="1:2" ht="27.75" customHeight="1" x14ac:dyDescent="0.3">
      <c r="A3" s="59" t="s">
        <v>93</v>
      </c>
      <c r="B3" s="63" t="s">
        <v>109</v>
      </c>
    </row>
    <row r="4" spans="1:2" x14ac:dyDescent="0.3">
      <c r="A4" s="59" t="s">
        <v>23</v>
      </c>
      <c r="B4" s="61" t="s">
        <v>83</v>
      </c>
    </row>
    <row r="5" spans="1:2" x14ac:dyDescent="0.3">
      <c r="A5" s="59" t="s">
        <v>24</v>
      </c>
      <c r="B5" s="61" t="s">
        <v>94</v>
      </c>
    </row>
    <row r="6" spans="1:2" ht="27.75" customHeight="1" x14ac:dyDescent="0.3">
      <c r="A6" s="59" t="s">
        <v>27</v>
      </c>
      <c r="B6" s="65" t="s">
        <v>71</v>
      </c>
    </row>
    <row r="7" spans="1:2" x14ac:dyDescent="0.3">
      <c r="A7" s="59" t="s">
        <v>36</v>
      </c>
      <c r="B7" s="65" t="s">
        <v>72</v>
      </c>
    </row>
    <row r="8" spans="1:2" ht="20.399999999999999" x14ac:dyDescent="0.3">
      <c r="A8" s="59" t="s">
        <v>96</v>
      </c>
      <c r="B8" s="63" t="s">
        <v>97</v>
      </c>
    </row>
    <row r="9" spans="1:2" ht="20.399999999999999" x14ac:dyDescent="0.3">
      <c r="A9" s="59" t="s">
        <v>37</v>
      </c>
      <c r="B9" s="66" t="s">
        <v>118</v>
      </c>
    </row>
    <row r="10" spans="1:2" x14ac:dyDescent="0.3">
      <c r="A10" s="59" t="s">
        <v>67</v>
      </c>
      <c r="B10" s="65" t="s">
        <v>117</v>
      </c>
    </row>
    <row r="11" spans="1:2" x14ac:dyDescent="0.3">
      <c r="A11" s="59" t="s">
        <v>75</v>
      </c>
      <c r="B11" s="65" t="s">
        <v>76</v>
      </c>
    </row>
    <row r="12" spans="1:2" x14ac:dyDescent="0.3">
      <c r="A12" s="59" t="s">
        <v>101</v>
      </c>
      <c r="B12" s="66" t="s">
        <v>116</v>
      </c>
    </row>
    <row r="13" spans="1:2" x14ac:dyDescent="0.3">
      <c r="A13" s="59" t="s">
        <v>102</v>
      </c>
      <c r="B13" s="66" t="s">
        <v>120</v>
      </c>
    </row>
    <row r="14" spans="1:2" x14ac:dyDescent="0.3">
      <c r="A14" s="59" t="s">
        <v>103</v>
      </c>
      <c r="B14" s="66" t="s">
        <v>119</v>
      </c>
    </row>
    <row r="15" spans="1:2" x14ac:dyDescent="0.3">
      <c r="A15" s="59" t="s">
        <v>104</v>
      </c>
      <c r="B15" s="66" t="s">
        <v>107</v>
      </c>
    </row>
    <row r="16" spans="1:2" ht="51" customHeight="1" x14ac:dyDescent="0.3">
      <c r="A16" s="59" t="s">
        <v>106</v>
      </c>
      <c r="B16" s="66" t="s">
        <v>108</v>
      </c>
    </row>
    <row r="17" spans="1:2" ht="55.5" customHeight="1" x14ac:dyDescent="0.3">
      <c r="A17" s="59" t="s">
        <v>111</v>
      </c>
      <c r="B17" s="66" t="s">
        <v>113</v>
      </c>
    </row>
    <row r="18" spans="1:2" ht="20.399999999999999" x14ac:dyDescent="0.3">
      <c r="A18" s="59" t="s">
        <v>112</v>
      </c>
      <c r="B18" s="66" t="s">
        <v>114</v>
      </c>
    </row>
    <row r="19" spans="1:2" ht="30.6" x14ac:dyDescent="0.3">
      <c r="A19" s="59" t="s">
        <v>219</v>
      </c>
      <c r="B19" s="66" t="s">
        <v>220</v>
      </c>
    </row>
    <row r="20" spans="1:2" x14ac:dyDescent="0.3">
      <c r="A20" s="59" t="s">
        <v>115</v>
      </c>
      <c r="B20" s="67" t="s">
        <v>121</v>
      </c>
    </row>
    <row r="21" spans="1:2" x14ac:dyDescent="0.3">
      <c r="A21" s="59" t="s">
        <v>122</v>
      </c>
      <c r="B21" s="67" t="s">
        <v>129</v>
      </c>
    </row>
    <row r="22" spans="1:2" ht="20.399999999999999" x14ac:dyDescent="0.3">
      <c r="A22" s="59" t="s">
        <v>123</v>
      </c>
      <c r="B22" s="67" t="s">
        <v>125</v>
      </c>
    </row>
    <row r="23" spans="1:2" ht="20.399999999999999" x14ac:dyDescent="0.3">
      <c r="A23" s="59" t="s">
        <v>124</v>
      </c>
      <c r="B23" s="67" t="s">
        <v>125</v>
      </c>
    </row>
    <row r="24" spans="1:2" ht="46.5" customHeight="1" x14ac:dyDescent="0.3">
      <c r="A24" s="59" t="s">
        <v>126</v>
      </c>
      <c r="B24" s="67" t="s">
        <v>197</v>
      </c>
    </row>
    <row r="25" spans="1:2" ht="39" customHeight="1" x14ac:dyDescent="0.3">
      <c r="A25" s="59" t="s">
        <v>127</v>
      </c>
      <c r="B25" s="67" t="s">
        <v>196</v>
      </c>
    </row>
    <row r="26" spans="1:2" x14ac:dyDescent="0.3">
      <c r="A26" s="59" t="s">
        <v>75</v>
      </c>
      <c r="B26" s="67" t="s">
        <v>128</v>
      </c>
    </row>
    <row r="27" spans="1:2" x14ac:dyDescent="0.3">
      <c r="A27" s="59" t="s">
        <v>130</v>
      </c>
      <c r="B27" s="67" t="s">
        <v>131</v>
      </c>
    </row>
    <row r="28" spans="1:2" ht="24" customHeight="1" x14ac:dyDescent="0.3">
      <c r="A28" s="59" t="s">
        <v>132</v>
      </c>
      <c r="B28" s="67" t="s">
        <v>133</v>
      </c>
    </row>
    <row r="29" spans="1:2" ht="20.399999999999999" x14ac:dyDescent="0.3">
      <c r="A29" s="59" t="s">
        <v>134</v>
      </c>
      <c r="B29" s="67" t="s">
        <v>135</v>
      </c>
    </row>
    <row r="30" spans="1:2" ht="20.399999999999999" x14ac:dyDescent="0.3">
      <c r="A30" s="59" t="s">
        <v>136</v>
      </c>
      <c r="B30" s="67" t="s">
        <v>137</v>
      </c>
    </row>
    <row r="31" spans="1:2" ht="24" customHeight="1" x14ac:dyDescent="0.3">
      <c r="A31" s="59" t="s">
        <v>138</v>
      </c>
      <c r="B31" s="67" t="s">
        <v>139</v>
      </c>
    </row>
    <row r="32" spans="1:2" ht="20.399999999999999" x14ac:dyDescent="0.3">
      <c r="A32" s="59" t="s">
        <v>140</v>
      </c>
      <c r="B32" s="67" t="s">
        <v>195</v>
      </c>
    </row>
    <row r="33" spans="1:2" x14ac:dyDescent="0.3">
      <c r="A33" s="59" t="s">
        <v>141</v>
      </c>
      <c r="B33" s="67" t="s">
        <v>148</v>
      </c>
    </row>
    <row r="34" spans="1:2" x14ac:dyDescent="0.3">
      <c r="A34" s="59" t="s">
        <v>142</v>
      </c>
      <c r="B34" s="67" t="s">
        <v>145</v>
      </c>
    </row>
    <row r="35" spans="1:2" x14ac:dyDescent="0.3">
      <c r="A35" s="59" t="s">
        <v>143</v>
      </c>
      <c r="B35" s="67" t="s">
        <v>146</v>
      </c>
    </row>
    <row r="36" spans="1:2" ht="20.399999999999999" x14ac:dyDescent="0.3">
      <c r="A36" s="59" t="s">
        <v>144</v>
      </c>
      <c r="B36" s="67" t="s">
        <v>147</v>
      </c>
    </row>
    <row r="37" spans="1:2" x14ac:dyDescent="0.3">
      <c r="A37" s="68"/>
      <c r="B37" s="69"/>
    </row>
    <row r="39" spans="1:2" x14ac:dyDescent="0.3">
      <c r="A39" s="218" t="s">
        <v>99</v>
      </c>
      <c r="B39" s="219"/>
    </row>
    <row r="40" spans="1:2" x14ac:dyDescent="0.3">
      <c r="A40" s="59" t="s">
        <v>69</v>
      </c>
      <c r="B40" s="62" t="s">
        <v>68</v>
      </c>
    </row>
    <row r="41" spans="1:2" x14ac:dyDescent="0.3">
      <c r="A41" s="59" t="s">
        <v>23</v>
      </c>
      <c r="B41" s="61" t="s">
        <v>83</v>
      </c>
    </row>
    <row r="42" spans="1:2" x14ac:dyDescent="0.3">
      <c r="A42" s="59" t="s">
        <v>24</v>
      </c>
      <c r="B42" s="61" t="s">
        <v>94</v>
      </c>
    </row>
    <row r="43" spans="1:2" x14ac:dyDescent="0.3">
      <c r="A43" s="59" t="s">
        <v>80</v>
      </c>
      <c r="B43" s="61" t="s">
        <v>86</v>
      </c>
    </row>
    <row r="44" spans="1:2" x14ac:dyDescent="0.3">
      <c r="A44" s="59" t="s">
        <v>77</v>
      </c>
      <c r="B44" s="60" t="s">
        <v>70</v>
      </c>
    </row>
    <row r="45" spans="1:2" ht="20.399999999999999" x14ac:dyDescent="0.3">
      <c r="A45" s="59" t="s">
        <v>27</v>
      </c>
      <c r="B45" s="60" t="s">
        <v>71</v>
      </c>
    </row>
    <row r="46" spans="1:2" x14ac:dyDescent="0.3">
      <c r="A46" s="59" t="s">
        <v>36</v>
      </c>
      <c r="B46" s="60" t="s">
        <v>72</v>
      </c>
    </row>
    <row r="47" spans="1:2" ht="20.399999999999999" x14ac:dyDescent="0.3">
      <c r="A47" s="59" t="s">
        <v>96</v>
      </c>
      <c r="B47" s="64" t="s">
        <v>97</v>
      </c>
    </row>
    <row r="48" spans="1:2" x14ac:dyDescent="0.3">
      <c r="A48" s="59" t="s">
        <v>73</v>
      </c>
      <c r="B48" s="60" t="s">
        <v>74</v>
      </c>
    </row>
    <row r="49" spans="1:2" x14ac:dyDescent="0.3">
      <c r="A49" s="59" t="s">
        <v>67</v>
      </c>
      <c r="B49" s="57" t="s">
        <v>66</v>
      </c>
    </row>
    <row r="50" spans="1:2" x14ac:dyDescent="0.3">
      <c r="A50" s="59" t="s">
        <v>75</v>
      </c>
      <c r="B50" s="57" t="s">
        <v>76</v>
      </c>
    </row>
    <row r="51" spans="1:2" x14ac:dyDescent="0.3">
      <c r="A51" s="59" t="s">
        <v>40</v>
      </c>
      <c r="B51" s="57" t="s">
        <v>78</v>
      </c>
    </row>
    <row r="52" spans="1:2" x14ac:dyDescent="0.3">
      <c r="A52" s="59" t="s">
        <v>30</v>
      </c>
      <c r="B52" s="57" t="s">
        <v>85</v>
      </c>
    </row>
    <row r="53" spans="1:2" ht="21.6" x14ac:dyDescent="0.3">
      <c r="A53" s="59" t="s">
        <v>31</v>
      </c>
      <c r="B53" s="57" t="s">
        <v>79</v>
      </c>
    </row>
    <row r="54" spans="1:2" x14ac:dyDescent="0.3">
      <c r="A54" s="58" t="s">
        <v>32</v>
      </c>
      <c r="B54" s="57" t="s">
        <v>81</v>
      </c>
    </row>
    <row r="55" spans="1:2" x14ac:dyDescent="0.3">
      <c r="A55" s="58" t="s">
        <v>35</v>
      </c>
      <c r="B55" s="57" t="s">
        <v>82</v>
      </c>
    </row>
    <row r="56" spans="1:2" x14ac:dyDescent="0.3">
      <c r="A56" s="58" t="s">
        <v>38</v>
      </c>
      <c r="B56" s="61" t="s">
        <v>87</v>
      </c>
    </row>
    <row r="57" spans="1:2" ht="61.5" customHeight="1" x14ac:dyDescent="0.3">
      <c r="A57" s="58" t="s">
        <v>100</v>
      </c>
      <c r="B57" s="57" t="s">
        <v>84</v>
      </c>
    </row>
  </sheetData>
  <mergeCells count="2">
    <mergeCell ref="A39:B39"/>
    <mergeCell ref="A1:B1"/>
  </mergeCells>
  <pageMargins left="0.70866141732283472" right="0.70866141732283472" top="0.74803149606299213" bottom="0.74803149606299213" header="0.31496062992125984" footer="0.31496062992125984"/>
  <pageSetup scale="65" orientation="portrait" r:id="rId1"/>
  <headerFooter>
    <oddHeader>&amp;L&amp;G&amp;CFORMATO DE SOLICITUD DE RECURSOS&amp;RPLE-FO-06</oddHeader>
    <oddFooter>&amp;CFavor imprimir a doble cara
Proceso: Planeación Estrategica PLE, Versión del formato 01, Página &amp;P, formato vigente desde: 16-11-2022 
Este documento es fiel copia del original, su impresión se considera copia no controlada.</oddFooter>
  </headerFooter>
  <rowBreaks count="1" manualBreakCount="1">
    <brk id="3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CE1B-04E3-4AD1-ACD2-BFA3C581804C}">
  <dimension ref="B2:J75"/>
  <sheetViews>
    <sheetView topLeftCell="F4" zoomScale="106" zoomScaleNormal="106" workbookViewId="0">
      <selection activeCell="J11" sqref="J11"/>
    </sheetView>
  </sheetViews>
  <sheetFormatPr baseColWidth="10" defaultColWidth="11.44140625" defaultRowHeight="14.4" x14ac:dyDescent="0.3"/>
  <cols>
    <col min="2" max="2" width="67.6640625" style="136" customWidth="1"/>
    <col min="3" max="3" width="38" style="136" customWidth="1"/>
    <col min="4" max="4" width="27.33203125" style="137" customWidth="1"/>
    <col min="5" max="5" width="68.5546875" style="137" customWidth="1"/>
    <col min="6" max="6" width="11.44140625" style="137"/>
    <col min="7" max="7" width="49.109375" style="137" customWidth="1"/>
    <col min="8" max="8" width="27.109375" style="137" customWidth="1"/>
    <col min="9" max="9" width="38.109375" style="137" customWidth="1"/>
    <col min="10" max="10" width="32.109375" style="137" customWidth="1"/>
  </cols>
  <sheetData>
    <row r="2" spans="2:10" x14ac:dyDescent="0.3">
      <c r="B2" s="139" t="s">
        <v>24</v>
      </c>
      <c r="C2" s="139" t="s">
        <v>23</v>
      </c>
      <c r="D2" s="140" t="s">
        <v>149</v>
      </c>
      <c r="E2" s="140" t="s">
        <v>150</v>
      </c>
      <c r="F2" s="140" t="s">
        <v>151</v>
      </c>
      <c r="G2" s="140" t="s">
        <v>152</v>
      </c>
      <c r="H2" s="140" t="s">
        <v>153</v>
      </c>
      <c r="I2" s="140" t="s">
        <v>154</v>
      </c>
      <c r="J2" s="140" t="s">
        <v>75</v>
      </c>
    </row>
    <row r="3" spans="2:10" ht="21.6" x14ac:dyDescent="0.3">
      <c r="B3" s="142" t="s">
        <v>155</v>
      </c>
      <c r="C3" s="57" t="s">
        <v>156</v>
      </c>
      <c r="D3" s="138" t="s">
        <v>157</v>
      </c>
      <c r="E3" s="57" t="s">
        <v>224</v>
      </c>
      <c r="F3" s="138" t="s">
        <v>203</v>
      </c>
      <c r="G3" s="144" t="s">
        <v>176</v>
      </c>
      <c r="H3" s="146" t="s">
        <v>769</v>
      </c>
      <c r="I3" s="141" t="s">
        <v>184</v>
      </c>
      <c r="J3" s="57" t="s">
        <v>158</v>
      </c>
    </row>
    <row r="4" spans="2:10" ht="21.6" x14ac:dyDescent="0.3">
      <c r="B4" s="142" t="s">
        <v>156</v>
      </c>
      <c r="C4" s="57" t="s">
        <v>159</v>
      </c>
      <c r="D4" s="138" t="s">
        <v>160</v>
      </c>
      <c r="E4" s="57" t="s">
        <v>225</v>
      </c>
      <c r="F4" s="138" t="s">
        <v>204</v>
      </c>
      <c r="G4" s="144" t="s">
        <v>177</v>
      </c>
      <c r="H4" s="147" t="s">
        <v>770</v>
      </c>
      <c r="I4" s="141" t="s">
        <v>185</v>
      </c>
      <c r="J4" s="57" t="s">
        <v>730</v>
      </c>
    </row>
    <row r="5" spans="2:10" ht="31.8" x14ac:dyDescent="0.3">
      <c r="B5" s="142" t="s">
        <v>159</v>
      </c>
      <c r="C5" s="57" t="s">
        <v>155</v>
      </c>
      <c r="D5" s="138"/>
      <c r="E5" s="57"/>
      <c r="F5" s="138"/>
      <c r="G5" s="144" t="s">
        <v>178</v>
      </c>
      <c r="H5" s="148" t="s">
        <v>771</v>
      </c>
      <c r="I5" s="141" t="s">
        <v>632</v>
      </c>
      <c r="J5" s="57" t="s">
        <v>161</v>
      </c>
    </row>
    <row r="6" spans="2:10" x14ac:dyDescent="0.3">
      <c r="B6" s="142" t="s">
        <v>163</v>
      </c>
      <c r="C6" s="57" t="s">
        <v>163</v>
      </c>
      <c r="D6" s="138"/>
      <c r="E6" s="57"/>
      <c r="F6" s="138"/>
      <c r="G6" s="57" t="s">
        <v>226</v>
      </c>
      <c r="H6" s="138" t="s">
        <v>772</v>
      </c>
      <c r="I6" s="141" t="s">
        <v>186</v>
      </c>
      <c r="J6" s="57" t="s">
        <v>162</v>
      </c>
    </row>
    <row r="7" spans="2:10" ht="21.6" x14ac:dyDescent="0.3">
      <c r="B7" s="142" t="s">
        <v>165</v>
      </c>
      <c r="C7" s="57" t="s">
        <v>208</v>
      </c>
      <c r="D7" s="138"/>
      <c r="E7" s="57"/>
      <c r="F7" s="138"/>
      <c r="G7" s="57" t="s">
        <v>227</v>
      </c>
      <c r="H7" s="138" t="s">
        <v>817</v>
      </c>
      <c r="I7" s="141" t="s">
        <v>187</v>
      </c>
      <c r="J7" s="57" t="s">
        <v>164</v>
      </c>
    </row>
    <row r="8" spans="2:10" x14ac:dyDescent="0.3">
      <c r="B8" s="142" t="s">
        <v>168</v>
      </c>
      <c r="C8" s="57" t="s">
        <v>209</v>
      </c>
      <c r="D8" s="138"/>
      <c r="E8" s="57"/>
      <c r="F8" s="138"/>
      <c r="G8" s="57" t="s">
        <v>166</v>
      </c>
      <c r="H8" s="138" t="s">
        <v>773</v>
      </c>
      <c r="I8" s="141" t="s">
        <v>188</v>
      </c>
      <c r="J8" s="57" t="s">
        <v>167</v>
      </c>
    </row>
    <row r="9" spans="2:10" ht="21.6" x14ac:dyDescent="0.3">
      <c r="B9" s="142" t="s">
        <v>205</v>
      </c>
      <c r="C9" s="57" t="s">
        <v>213</v>
      </c>
      <c r="D9" s="138"/>
      <c r="E9" s="57"/>
      <c r="F9" s="138"/>
      <c r="G9" s="57" t="s">
        <v>179</v>
      </c>
      <c r="H9" s="138" t="s">
        <v>774</v>
      </c>
      <c r="I9" s="141" t="s">
        <v>189</v>
      </c>
      <c r="J9" s="57" t="s">
        <v>169</v>
      </c>
    </row>
    <row r="10" spans="2:10" ht="21.6" x14ac:dyDescent="0.3">
      <c r="B10" s="142" t="s">
        <v>207</v>
      </c>
      <c r="C10" s="57" t="s">
        <v>215</v>
      </c>
      <c r="D10" s="138"/>
      <c r="E10" s="138"/>
      <c r="F10" s="138"/>
      <c r="G10" s="57" t="s">
        <v>228</v>
      </c>
      <c r="H10" s="138" t="s">
        <v>775</v>
      </c>
      <c r="I10" s="141" t="s">
        <v>190</v>
      </c>
      <c r="J10" s="57" t="s">
        <v>171</v>
      </c>
    </row>
    <row r="11" spans="2:10" ht="42" x14ac:dyDescent="0.3">
      <c r="B11" s="142" t="s">
        <v>174</v>
      </c>
      <c r="C11" s="57" t="s">
        <v>214</v>
      </c>
      <c r="D11" s="138"/>
      <c r="E11" s="138"/>
      <c r="F11" s="138"/>
      <c r="G11" s="57" t="s">
        <v>229</v>
      </c>
      <c r="H11" s="138" t="s">
        <v>776</v>
      </c>
      <c r="I11" s="57" t="s">
        <v>629</v>
      </c>
      <c r="J11" s="57" t="s">
        <v>173</v>
      </c>
    </row>
    <row r="12" spans="2:10" ht="42" x14ac:dyDescent="0.3">
      <c r="B12" s="142" t="s">
        <v>210</v>
      </c>
      <c r="C12" s="57" t="s">
        <v>216</v>
      </c>
      <c r="D12" s="138"/>
      <c r="E12" s="138"/>
      <c r="F12" s="138"/>
      <c r="G12" s="57" t="s">
        <v>172</v>
      </c>
      <c r="H12" s="138" t="s">
        <v>777</v>
      </c>
      <c r="I12" s="57" t="s">
        <v>630</v>
      </c>
      <c r="J12" s="138"/>
    </row>
    <row r="13" spans="2:10" x14ac:dyDescent="0.3">
      <c r="B13" s="142" t="s">
        <v>211</v>
      </c>
      <c r="C13" s="57" t="s">
        <v>217</v>
      </c>
      <c r="D13" s="138"/>
      <c r="E13" s="138"/>
      <c r="F13" s="138"/>
      <c r="G13" s="57" t="s">
        <v>170</v>
      </c>
      <c r="H13" s="138" t="s">
        <v>199</v>
      </c>
      <c r="I13" s="57" t="s">
        <v>230</v>
      </c>
      <c r="J13" s="138"/>
    </row>
    <row r="14" spans="2:10" x14ac:dyDescent="0.3">
      <c r="B14" s="142" t="s">
        <v>212</v>
      </c>
      <c r="C14" s="57" t="s">
        <v>175</v>
      </c>
      <c r="D14" s="138"/>
      <c r="E14" s="138"/>
      <c r="F14" s="138"/>
      <c r="G14" s="57"/>
      <c r="H14" s="138"/>
      <c r="I14" s="57" t="s">
        <v>231</v>
      </c>
      <c r="J14" s="138"/>
    </row>
    <row r="15" spans="2:10" x14ac:dyDescent="0.3">
      <c r="B15" s="142" t="s">
        <v>206</v>
      </c>
      <c r="C15" s="57"/>
      <c r="D15" s="138"/>
      <c r="E15" s="138"/>
      <c r="F15" s="138"/>
      <c r="G15" s="57"/>
      <c r="H15" s="138"/>
      <c r="I15" s="57" t="s">
        <v>232</v>
      </c>
      <c r="J15" s="138"/>
    </row>
    <row r="16" spans="2:10" ht="21.6" x14ac:dyDescent="0.3">
      <c r="B16" s="142" t="s">
        <v>175</v>
      </c>
      <c r="C16" s="57"/>
      <c r="D16" s="138"/>
      <c r="E16" s="138"/>
      <c r="F16" s="138"/>
      <c r="G16" s="57"/>
      <c r="H16" s="138"/>
      <c r="I16" s="57" t="s">
        <v>233</v>
      </c>
      <c r="J16" s="138"/>
    </row>
    <row r="17" spans="2:10" ht="31.8" x14ac:dyDescent="0.3">
      <c r="B17" s="57" t="s">
        <v>198</v>
      </c>
      <c r="C17" s="57"/>
      <c r="D17" s="138"/>
      <c r="E17" s="138"/>
      <c r="F17" s="138"/>
      <c r="G17" s="138"/>
      <c r="H17" s="138"/>
      <c r="I17" s="57" t="s">
        <v>234</v>
      </c>
      <c r="J17" s="138"/>
    </row>
    <row r="18" spans="2:10" ht="31.8" x14ac:dyDescent="0.3">
      <c r="B18" s="57"/>
      <c r="C18" s="57"/>
      <c r="D18" s="138"/>
      <c r="E18" s="138"/>
      <c r="F18" s="138"/>
      <c r="G18" s="138"/>
      <c r="H18" s="138"/>
      <c r="I18" s="57" t="s">
        <v>235</v>
      </c>
      <c r="J18" s="138"/>
    </row>
    <row r="19" spans="2:10" ht="21.6" x14ac:dyDescent="0.3">
      <c r="B19" s="57"/>
      <c r="C19" s="57"/>
      <c r="D19" s="138"/>
      <c r="E19" s="138"/>
      <c r="F19" s="138"/>
      <c r="G19" s="138"/>
      <c r="H19" s="138"/>
      <c r="I19" s="57" t="s">
        <v>236</v>
      </c>
      <c r="J19" s="138"/>
    </row>
    <row r="20" spans="2:10" ht="21.6" x14ac:dyDescent="0.3">
      <c r="B20" s="57"/>
      <c r="C20" s="57"/>
      <c r="D20" s="138"/>
      <c r="E20" s="138"/>
      <c r="F20" s="138"/>
      <c r="G20" s="138"/>
      <c r="H20" s="138"/>
      <c r="I20" s="57" t="s">
        <v>237</v>
      </c>
      <c r="J20" s="138"/>
    </row>
    <row r="21" spans="2:10" ht="31.8" x14ac:dyDescent="0.3">
      <c r="B21" s="57"/>
      <c r="C21" s="57"/>
      <c r="D21" s="138"/>
      <c r="E21" s="138"/>
      <c r="F21" s="138"/>
      <c r="G21" s="138"/>
      <c r="H21" s="138"/>
      <c r="I21" s="57" t="s">
        <v>238</v>
      </c>
      <c r="J21" s="138"/>
    </row>
    <row r="22" spans="2:10" ht="31.8" x14ac:dyDescent="0.3">
      <c r="B22" s="57"/>
      <c r="C22" s="57"/>
      <c r="D22" s="138"/>
      <c r="E22" s="138"/>
      <c r="F22" s="138"/>
      <c r="G22" s="138"/>
      <c r="H22" s="138"/>
      <c r="I22" s="57" t="s">
        <v>239</v>
      </c>
      <c r="J22" s="138"/>
    </row>
    <row r="23" spans="2:10" ht="21.6" x14ac:dyDescent="0.3">
      <c r="B23" s="57"/>
      <c r="C23" s="57"/>
      <c r="D23" s="138"/>
      <c r="E23" s="138"/>
      <c r="F23" s="138"/>
      <c r="G23" s="138"/>
      <c r="H23" s="138"/>
      <c r="I23" s="57" t="s">
        <v>180</v>
      </c>
      <c r="J23" s="138"/>
    </row>
    <row r="24" spans="2:10" ht="21.6" x14ac:dyDescent="0.3">
      <c r="C24" s="57"/>
      <c r="D24" s="138"/>
      <c r="E24" s="138"/>
      <c r="F24" s="138"/>
      <c r="G24" s="138"/>
      <c r="H24" s="138"/>
      <c r="I24" s="57" t="s">
        <v>182</v>
      </c>
      <c r="J24" s="138"/>
    </row>
    <row r="25" spans="2:10" ht="21.6" x14ac:dyDescent="0.3">
      <c r="C25" s="57"/>
      <c r="D25" s="138"/>
      <c r="E25" s="138"/>
      <c r="F25" s="138"/>
      <c r="G25" s="138"/>
      <c r="H25" s="138"/>
      <c r="I25" s="57" t="s">
        <v>181</v>
      </c>
      <c r="J25" s="138"/>
    </row>
    <row r="26" spans="2:10" x14ac:dyDescent="0.3">
      <c r="B26" s="57"/>
      <c r="C26" s="57"/>
      <c r="D26" s="138"/>
      <c r="E26" s="138"/>
      <c r="F26" s="138"/>
      <c r="G26" s="138"/>
      <c r="H26" s="138"/>
      <c r="I26" s="138" t="s">
        <v>183</v>
      </c>
      <c r="J26" s="138"/>
    </row>
    <row r="27" spans="2:10" x14ac:dyDescent="0.3">
      <c r="B27" s="57"/>
      <c r="C27" s="57"/>
      <c r="D27" s="138"/>
      <c r="E27" s="138"/>
      <c r="F27" s="138"/>
      <c r="G27" s="138"/>
      <c r="H27" s="138"/>
      <c r="I27" s="138"/>
      <c r="J27" s="138"/>
    </row>
    <row r="28" spans="2:10" x14ac:dyDescent="0.3">
      <c r="B28" s="57"/>
      <c r="C28" s="57"/>
      <c r="D28" s="138"/>
      <c r="E28" s="138"/>
      <c r="F28" s="138"/>
      <c r="G28" s="138"/>
      <c r="H28" s="138"/>
      <c r="I28" s="138"/>
      <c r="J28" s="138"/>
    </row>
    <row r="29" spans="2:10" x14ac:dyDescent="0.3">
      <c r="B29" s="57"/>
      <c r="C29" s="57"/>
      <c r="D29" s="138"/>
      <c r="E29" s="138"/>
      <c r="F29" s="138"/>
      <c r="G29" s="138"/>
      <c r="H29" s="138"/>
      <c r="I29" s="138"/>
      <c r="J29" s="138"/>
    </row>
    <row r="30" spans="2:10" x14ac:dyDescent="0.3">
      <c r="B30" s="57"/>
      <c r="C30" s="57"/>
      <c r="D30" s="138"/>
      <c r="E30" s="138"/>
      <c r="F30" s="138"/>
      <c r="G30" s="138"/>
      <c r="H30" s="138"/>
      <c r="I30" s="138"/>
      <c r="J30" s="138"/>
    </row>
    <row r="31" spans="2:10" x14ac:dyDescent="0.3">
      <c r="B31" s="57"/>
      <c r="C31" s="57"/>
      <c r="D31" s="138"/>
      <c r="E31" s="138"/>
      <c r="F31" s="138"/>
      <c r="G31" s="138"/>
      <c r="H31" s="138"/>
      <c r="I31" s="138"/>
      <c r="J31" s="138"/>
    </row>
    <row r="32" spans="2:10" x14ac:dyDescent="0.3">
      <c r="B32" s="57"/>
      <c r="C32" s="57"/>
      <c r="D32" s="138"/>
      <c r="E32" s="138"/>
      <c r="F32" s="138"/>
      <c r="G32" s="138"/>
      <c r="H32" s="138"/>
      <c r="I32" s="57"/>
      <c r="J32" s="138"/>
    </row>
    <row r="33" spans="2:10" x14ac:dyDescent="0.3">
      <c r="B33" s="57"/>
      <c r="C33" s="57"/>
      <c r="D33" s="138"/>
      <c r="E33" s="138"/>
      <c r="F33" s="138"/>
      <c r="G33" s="138"/>
      <c r="H33" s="138"/>
      <c r="I33" s="57"/>
      <c r="J33" s="138"/>
    </row>
    <row r="34" spans="2:10" x14ac:dyDescent="0.3">
      <c r="B34" s="57"/>
      <c r="C34" s="57"/>
      <c r="D34" s="138"/>
      <c r="E34" s="138"/>
      <c r="F34" s="138"/>
      <c r="G34" s="138"/>
      <c r="H34" s="138"/>
      <c r="I34" s="57"/>
      <c r="J34" s="138"/>
    </row>
    <row r="35" spans="2:10" x14ac:dyDescent="0.3">
      <c r="B35" s="57"/>
      <c r="C35" s="57"/>
      <c r="D35" s="138"/>
      <c r="E35" s="138"/>
      <c r="F35" s="138"/>
      <c r="G35" s="138"/>
      <c r="H35" s="138"/>
      <c r="I35" s="57"/>
      <c r="J35" s="138"/>
    </row>
    <row r="36" spans="2:10" x14ac:dyDescent="0.3">
      <c r="B36" s="57"/>
      <c r="C36" s="57"/>
      <c r="D36" s="138"/>
      <c r="E36" s="138"/>
      <c r="F36" s="138"/>
      <c r="G36" s="138"/>
      <c r="H36" s="138"/>
      <c r="I36" s="57" t="s">
        <v>198</v>
      </c>
      <c r="J36" s="138"/>
    </row>
    <row r="37" spans="2:10" x14ac:dyDescent="0.3">
      <c r="B37" s="57"/>
      <c r="C37" s="57"/>
      <c r="D37" s="138"/>
      <c r="E37" s="138"/>
      <c r="F37" s="138"/>
      <c r="G37" s="138"/>
      <c r="H37" s="138"/>
      <c r="I37" s="57"/>
      <c r="J37" s="138"/>
    </row>
    <row r="38" spans="2:10" x14ac:dyDescent="0.3">
      <c r="B38" s="57"/>
      <c r="C38" s="57"/>
      <c r="D38" s="138"/>
      <c r="E38" s="138"/>
      <c r="F38" s="138"/>
      <c r="G38" s="138"/>
      <c r="H38" s="138"/>
      <c r="I38" s="57"/>
      <c r="J38" s="138"/>
    </row>
    <row r="39" spans="2:10" x14ac:dyDescent="0.3">
      <c r="B39" s="57"/>
      <c r="C39" s="57"/>
      <c r="D39" s="138"/>
      <c r="E39" s="138"/>
      <c r="F39" s="138"/>
      <c r="G39" s="138"/>
      <c r="H39" s="138"/>
      <c r="I39" s="57"/>
      <c r="J39" s="138"/>
    </row>
    <row r="40" spans="2:10" x14ac:dyDescent="0.3">
      <c r="B40" s="57"/>
      <c r="C40" s="57"/>
      <c r="D40" s="138"/>
      <c r="E40" s="138"/>
      <c r="F40" s="138"/>
      <c r="G40" s="138"/>
      <c r="H40" s="138"/>
      <c r="I40" s="57"/>
      <c r="J40" s="138"/>
    </row>
    <row r="41" spans="2:10" x14ac:dyDescent="0.3">
      <c r="B41" s="57"/>
      <c r="C41" s="57"/>
      <c r="D41" s="138"/>
      <c r="E41" s="138"/>
      <c r="F41" s="138"/>
      <c r="G41" s="138"/>
      <c r="H41" s="138"/>
      <c r="I41" s="57"/>
      <c r="J41" s="138"/>
    </row>
    <row r="42" spans="2:10" x14ac:dyDescent="0.3">
      <c r="B42" s="57"/>
      <c r="C42" s="57"/>
      <c r="D42" s="138"/>
      <c r="E42" s="138"/>
      <c r="F42" s="138"/>
      <c r="G42" s="138"/>
      <c r="H42" s="138"/>
      <c r="I42" s="57"/>
      <c r="J42" s="138"/>
    </row>
    <row r="43" spans="2:10" x14ac:dyDescent="0.3">
      <c r="B43" s="57"/>
      <c r="C43" s="57"/>
      <c r="D43" s="138"/>
      <c r="E43" s="138"/>
      <c r="F43" s="138"/>
      <c r="G43" s="138"/>
      <c r="H43" s="138"/>
      <c r="I43" s="57"/>
      <c r="J43" s="138"/>
    </row>
    <row r="44" spans="2:10" x14ac:dyDescent="0.3">
      <c r="I44" s="57"/>
      <c r="J44" s="138"/>
    </row>
    <row r="46" spans="2:10" x14ac:dyDescent="0.3">
      <c r="B46" s="152" t="s">
        <v>221</v>
      </c>
      <c r="C46" s="152" t="s">
        <v>88</v>
      </c>
      <c r="D46" s="152" t="s">
        <v>222</v>
      </c>
      <c r="E46" s="152" t="s">
        <v>223</v>
      </c>
      <c r="F46" s="152" t="s">
        <v>633</v>
      </c>
    </row>
    <row r="47" spans="2:10" ht="28.8" x14ac:dyDescent="0.3">
      <c r="B47" s="155" t="s">
        <v>224</v>
      </c>
      <c r="C47" s="153">
        <v>19370951086</v>
      </c>
      <c r="D47" s="153">
        <v>633818927</v>
      </c>
      <c r="E47" s="153">
        <v>327856486</v>
      </c>
      <c r="F47" s="193">
        <f>SUM(C47:E47)</f>
        <v>20332626499</v>
      </c>
    </row>
    <row r="48" spans="2:10" ht="28.8" x14ac:dyDescent="0.3">
      <c r="B48" s="155" t="s">
        <v>225</v>
      </c>
      <c r="C48" s="153">
        <v>5001332655</v>
      </c>
      <c r="D48" s="153">
        <v>4173658461</v>
      </c>
      <c r="E48" s="153">
        <v>1008957397</v>
      </c>
      <c r="F48" s="193">
        <f>SUM(C48:E48)</f>
        <v>10183948513</v>
      </c>
    </row>
    <row r="49" spans="2:6" x14ac:dyDescent="0.3">
      <c r="B49" s="155" t="s">
        <v>170</v>
      </c>
      <c r="C49" s="154">
        <v>0</v>
      </c>
      <c r="D49" s="154">
        <v>0</v>
      </c>
      <c r="E49" s="154">
        <v>0</v>
      </c>
      <c r="F49" s="138"/>
    </row>
    <row r="51" spans="2:6" x14ac:dyDescent="0.3">
      <c r="B51" s="156" t="s">
        <v>221</v>
      </c>
      <c r="C51" s="156" t="s">
        <v>240</v>
      </c>
      <c r="D51" s="157" t="s">
        <v>241</v>
      </c>
      <c r="E51" s="156" t="s">
        <v>242</v>
      </c>
    </row>
    <row r="52" spans="2:6" ht="62.4" x14ac:dyDescent="0.3">
      <c r="B52" s="57" t="s">
        <v>243</v>
      </c>
      <c r="C52" s="57" t="s">
        <v>244</v>
      </c>
      <c r="D52" s="57" t="s">
        <v>629</v>
      </c>
      <c r="E52" s="183">
        <v>357104773</v>
      </c>
    </row>
    <row r="53" spans="2:6" ht="52.2" x14ac:dyDescent="0.3">
      <c r="B53" s="57" t="s">
        <v>243</v>
      </c>
      <c r="C53" s="57" t="s">
        <v>244</v>
      </c>
      <c r="D53" s="57" t="s">
        <v>630</v>
      </c>
      <c r="E53" s="183">
        <v>486000000</v>
      </c>
    </row>
    <row r="54" spans="2:6" ht="31.8" x14ac:dyDescent="0.3">
      <c r="B54" s="57" t="s">
        <v>243</v>
      </c>
      <c r="C54" s="57" t="s">
        <v>245</v>
      </c>
      <c r="D54" s="159" t="s">
        <v>230</v>
      </c>
      <c r="E54" s="183">
        <v>164500000</v>
      </c>
    </row>
    <row r="55" spans="2:6" ht="31.8" x14ac:dyDescent="0.3">
      <c r="B55" s="57" t="s">
        <v>243</v>
      </c>
      <c r="C55" s="57" t="s">
        <v>245</v>
      </c>
      <c r="D55" s="159" t="s">
        <v>231</v>
      </c>
      <c r="E55" s="183">
        <v>135500000</v>
      </c>
    </row>
    <row r="56" spans="2:6" ht="21.6" x14ac:dyDescent="0.3">
      <c r="B56" s="57" t="s">
        <v>243</v>
      </c>
      <c r="C56" s="57" t="s">
        <v>246</v>
      </c>
      <c r="D56" s="145" t="s">
        <v>232</v>
      </c>
      <c r="E56" s="158">
        <v>474727363</v>
      </c>
    </row>
    <row r="57" spans="2:6" ht="21.6" x14ac:dyDescent="0.3">
      <c r="B57" s="57" t="s">
        <v>243</v>
      </c>
      <c r="C57" s="57" t="s">
        <v>246</v>
      </c>
      <c r="D57" s="145" t="s">
        <v>233</v>
      </c>
      <c r="E57" s="158">
        <v>113300000</v>
      </c>
    </row>
    <row r="58" spans="2:6" ht="31.8" x14ac:dyDescent="0.3">
      <c r="B58" s="57" t="s">
        <v>243</v>
      </c>
      <c r="C58" s="57" t="s">
        <v>247</v>
      </c>
      <c r="D58" s="160" t="s">
        <v>234</v>
      </c>
      <c r="E58" s="158">
        <v>484648867</v>
      </c>
    </row>
    <row r="59" spans="2:6" ht="42" x14ac:dyDescent="0.3">
      <c r="B59" s="57" t="s">
        <v>243</v>
      </c>
      <c r="C59" s="57" t="s">
        <v>247</v>
      </c>
      <c r="D59" s="160" t="s">
        <v>235</v>
      </c>
      <c r="E59" s="158">
        <v>3010466299</v>
      </c>
    </row>
    <row r="60" spans="2:6" ht="31.8" x14ac:dyDescent="0.3">
      <c r="B60" s="57" t="s">
        <v>243</v>
      </c>
      <c r="C60" s="57" t="s">
        <v>248</v>
      </c>
      <c r="D60" s="57" t="s">
        <v>236</v>
      </c>
      <c r="E60" s="158">
        <v>3431794077</v>
      </c>
    </row>
    <row r="61" spans="2:6" ht="31.8" x14ac:dyDescent="0.3">
      <c r="B61" s="57" t="s">
        <v>243</v>
      </c>
      <c r="C61" s="57" t="s">
        <v>248</v>
      </c>
      <c r="D61" s="57" t="s">
        <v>237</v>
      </c>
      <c r="E61" s="158">
        <v>0</v>
      </c>
    </row>
    <row r="62" spans="2:6" ht="42" x14ac:dyDescent="0.3">
      <c r="B62" s="57" t="s">
        <v>243</v>
      </c>
      <c r="C62" s="57" t="s">
        <v>249</v>
      </c>
      <c r="D62" s="143" t="s">
        <v>238</v>
      </c>
      <c r="E62" s="158">
        <v>195000000</v>
      </c>
    </row>
    <row r="63" spans="2:6" ht="42" x14ac:dyDescent="0.3">
      <c r="B63" s="57" t="s">
        <v>243</v>
      </c>
      <c r="C63" s="57" t="s">
        <v>249</v>
      </c>
      <c r="D63" s="143" t="s">
        <v>239</v>
      </c>
      <c r="E63" s="158">
        <v>213644386</v>
      </c>
    </row>
    <row r="64" spans="2:6" ht="31.8" x14ac:dyDescent="0.3">
      <c r="B64" s="57" t="s">
        <v>243</v>
      </c>
      <c r="C64" s="57" t="s">
        <v>250</v>
      </c>
      <c r="D64" s="141" t="s">
        <v>180</v>
      </c>
      <c r="E64" s="158">
        <v>321262748</v>
      </c>
    </row>
    <row r="65" spans="2:5" ht="31.8" x14ac:dyDescent="0.3">
      <c r="B65" s="57" t="s">
        <v>243</v>
      </c>
      <c r="C65" s="57" t="s">
        <v>250</v>
      </c>
      <c r="D65" s="141" t="s">
        <v>182</v>
      </c>
      <c r="E65" s="158">
        <v>450000000</v>
      </c>
    </row>
    <row r="66" spans="2:5" ht="31.8" x14ac:dyDescent="0.3">
      <c r="B66" s="57" t="s">
        <v>243</v>
      </c>
      <c r="C66" s="57" t="s">
        <v>250</v>
      </c>
      <c r="D66" s="141" t="s">
        <v>181</v>
      </c>
      <c r="E66" s="158">
        <v>346000000</v>
      </c>
    </row>
    <row r="67" spans="2:5" ht="21.6" x14ac:dyDescent="0.3">
      <c r="B67" s="57" t="s">
        <v>243</v>
      </c>
      <c r="C67" s="57" t="s">
        <v>250</v>
      </c>
      <c r="D67" s="141" t="s">
        <v>183</v>
      </c>
      <c r="E67" s="161"/>
    </row>
    <row r="68" spans="2:5" ht="21.6" x14ac:dyDescent="0.3">
      <c r="B68" s="162" t="s">
        <v>224</v>
      </c>
      <c r="C68" s="163" t="s">
        <v>176</v>
      </c>
      <c r="D68" s="164" t="s">
        <v>184</v>
      </c>
      <c r="E68" s="165">
        <v>46651100</v>
      </c>
    </row>
    <row r="69" spans="2:5" ht="21.6" x14ac:dyDescent="0.3">
      <c r="B69" s="162" t="s">
        <v>224</v>
      </c>
      <c r="C69" s="163" t="s">
        <v>176</v>
      </c>
      <c r="D69" s="164" t="s">
        <v>185</v>
      </c>
      <c r="E69" s="165">
        <v>355890756</v>
      </c>
    </row>
    <row r="70" spans="2:5" ht="42" x14ac:dyDescent="0.3">
      <c r="B70" s="162" t="s">
        <v>224</v>
      </c>
      <c r="C70" s="163" t="s">
        <v>176</v>
      </c>
      <c r="D70" s="164" t="s">
        <v>251</v>
      </c>
      <c r="E70" s="165"/>
    </row>
    <row r="71" spans="2:5" ht="21.6" x14ac:dyDescent="0.3">
      <c r="B71" s="162" t="s">
        <v>224</v>
      </c>
      <c r="C71" s="163" t="s">
        <v>177</v>
      </c>
      <c r="D71" s="164" t="s">
        <v>186</v>
      </c>
      <c r="E71" s="165">
        <v>3195000000</v>
      </c>
    </row>
    <row r="72" spans="2:5" ht="42" x14ac:dyDescent="0.3">
      <c r="B72" s="162" t="s">
        <v>224</v>
      </c>
      <c r="C72" s="163" t="s">
        <v>177</v>
      </c>
      <c r="D72" s="164" t="s">
        <v>187</v>
      </c>
      <c r="E72" s="165">
        <v>3437154135</v>
      </c>
    </row>
    <row r="73" spans="2:5" ht="21.6" x14ac:dyDescent="0.3">
      <c r="B73" s="162" t="s">
        <v>224</v>
      </c>
      <c r="C73" s="163" t="s">
        <v>177</v>
      </c>
      <c r="D73" s="164" t="s">
        <v>188</v>
      </c>
      <c r="E73" s="165">
        <v>867675376</v>
      </c>
    </row>
    <row r="74" spans="2:5" ht="21.6" x14ac:dyDescent="0.3">
      <c r="B74" s="162" t="s">
        <v>224</v>
      </c>
      <c r="C74" s="163" t="s">
        <v>178</v>
      </c>
      <c r="D74" s="164" t="s">
        <v>189</v>
      </c>
      <c r="E74" s="165">
        <v>12430255132</v>
      </c>
    </row>
    <row r="75" spans="2:5" ht="21.6" x14ac:dyDescent="0.3">
      <c r="B75" s="162" t="s">
        <v>224</v>
      </c>
      <c r="C75" s="163" t="s">
        <v>178</v>
      </c>
      <c r="D75" s="164" t="s">
        <v>190</v>
      </c>
      <c r="E75" s="165"/>
    </row>
  </sheetData>
  <dataValidations count="1">
    <dataValidation type="list" allowBlank="1" showInputMessage="1" showErrorMessage="1" sqref="D62" xr:uid="{5C8C5461-8C66-4478-86E3-84144FFAFCC2}">
      <formula1>INDIRECT(C62)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240"/>
  <sheetViews>
    <sheetView tabSelected="1" showWhiteSpace="0" zoomScale="85" zoomScaleNormal="85" zoomScaleSheetLayoutView="80" zoomScalePageLayoutView="93" workbookViewId="0">
      <pane ySplit="1" topLeftCell="A2" activePane="bottomLeft" state="frozen"/>
      <selection pane="bottomLeft" activeCell="E3" sqref="E3"/>
    </sheetView>
  </sheetViews>
  <sheetFormatPr baseColWidth="10" defaultColWidth="11.44140625" defaultRowHeight="14.4" x14ac:dyDescent="0.3"/>
  <cols>
    <col min="1" max="1" width="14.88671875" style="93" customWidth="1"/>
    <col min="2" max="2" width="25.88671875" style="88" customWidth="1"/>
    <col min="3" max="3" width="11.44140625" style="88" customWidth="1"/>
    <col min="4" max="4" width="37" style="88" customWidth="1"/>
    <col min="5" max="5" width="17.88671875" style="70" customWidth="1"/>
    <col min="6" max="6" width="31.33203125" style="88" customWidth="1"/>
    <col min="7" max="7" width="36.5546875" style="70" customWidth="1"/>
    <col min="8" max="8" width="34.21875" style="88" customWidth="1"/>
    <col min="9" max="9" width="47.44140625" style="96" customWidth="1"/>
    <col min="10" max="10" width="11.109375" style="88" customWidth="1"/>
    <col min="11" max="11" width="11.88671875" style="94" customWidth="1"/>
    <col min="12" max="12" width="20.6640625" style="95" bestFit="1" customWidth="1"/>
    <col min="13" max="13" width="10.33203125" style="70" customWidth="1"/>
    <col min="14" max="14" width="22.44140625" style="95" customWidth="1"/>
    <col min="15" max="15" width="15.44140625" style="70" customWidth="1"/>
    <col min="16" max="16" width="21.33203125" style="70" bestFit="1" customWidth="1"/>
    <col min="17" max="17" width="21.5546875" style="70" bestFit="1" customWidth="1"/>
    <col min="18" max="18" width="21.109375" style="70" bestFit="1" customWidth="1"/>
    <col min="19" max="19" width="20.88671875" style="70" bestFit="1" customWidth="1"/>
    <col min="20" max="20" width="21.5546875" style="70" bestFit="1" customWidth="1"/>
    <col min="21" max="21" width="21.109375" style="70" bestFit="1" customWidth="1"/>
    <col min="22" max="22" width="16.6640625" style="70" customWidth="1"/>
    <col min="23" max="24" width="23.33203125" style="70" customWidth="1"/>
    <col min="25" max="25" width="19.77734375" style="96" customWidth="1"/>
    <col min="26" max="26" width="37.6640625" style="88" customWidth="1"/>
    <col min="27" max="27" width="15.109375" style="93" customWidth="1"/>
    <col min="28" max="28" width="16.109375" style="93" customWidth="1"/>
    <col min="29" max="29" width="13.33203125" style="93" customWidth="1"/>
    <col min="30" max="30" width="16" style="93" customWidth="1"/>
    <col min="31" max="31" width="11.44140625" style="96" customWidth="1"/>
    <col min="32" max="32" width="11.44140625" style="93" customWidth="1"/>
    <col min="33" max="33" width="16.33203125" style="93" customWidth="1"/>
    <col min="34" max="34" width="18.33203125" style="93" customWidth="1"/>
    <col min="35" max="36" width="11.44140625" style="93" customWidth="1"/>
    <col min="37" max="37" width="13.5546875" style="96" customWidth="1"/>
    <col min="38" max="38" width="19.44140625" style="93" customWidth="1"/>
    <col min="39" max="39" width="15.33203125" style="70" customWidth="1"/>
    <col min="40" max="40" width="11.44140625" style="70" customWidth="1"/>
    <col min="41" max="41" width="28.33203125" style="88" customWidth="1"/>
    <col min="42" max="44" width="11.44140625" style="70" customWidth="1"/>
    <col min="45" max="16384" width="11.44140625" style="70"/>
  </cols>
  <sheetData>
    <row r="1" spans="1:41" ht="55.2" x14ac:dyDescent="0.3">
      <c r="A1" s="217" t="s">
        <v>823</v>
      </c>
      <c r="B1" s="217" t="s">
        <v>41</v>
      </c>
      <c r="C1" s="217" t="s">
        <v>42</v>
      </c>
      <c r="D1" s="206" t="s">
        <v>193</v>
      </c>
      <c r="E1" s="206" t="s">
        <v>191</v>
      </c>
      <c r="F1" s="206" t="s">
        <v>43</v>
      </c>
      <c r="G1" s="206" t="s">
        <v>95</v>
      </c>
      <c r="H1" s="206" t="s">
        <v>44</v>
      </c>
      <c r="I1" s="206" t="s">
        <v>192</v>
      </c>
      <c r="J1" s="207" t="s">
        <v>45</v>
      </c>
      <c r="K1" s="208" t="s">
        <v>46</v>
      </c>
      <c r="L1" s="209" t="s">
        <v>47</v>
      </c>
      <c r="M1" s="207" t="s">
        <v>48</v>
      </c>
      <c r="N1" s="210" t="s">
        <v>11</v>
      </c>
      <c r="O1" s="211" t="s">
        <v>105</v>
      </c>
      <c r="P1" s="211" t="s">
        <v>49</v>
      </c>
      <c r="Q1" s="211" t="s">
        <v>50</v>
      </c>
      <c r="R1" s="211" t="s">
        <v>51</v>
      </c>
      <c r="S1" s="212" t="s">
        <v>52</v>
      </c>
      <c r="T1" s="212" t="s">
        <v>53</v>
      </c>
      <c r="U1" s="212" t="s">
        <v>54</v>
      </c>
      <c r="V1" s="212" t="s">
        <v>55</v>
      </c>
      <c r="W1" s="213" t="s">
        <v>194</v>
      </c>
      <c r="X1" s="213" t="s">
        <v>218</v>
      </c>
      <c r="Y1" s="214" t="s">
        <v>56</v>
      </c>
      <c r="Z1" s="214" t="s">
        <v>57</v>
      </c>
      <c r="AA1" s="214" t="s">
        <v>58</v>
      </c>
      <c r="AB1" s="214" t="s">
        <v>59</v>
      </c>
      <c r="AC1" s="214" t="s">
        <v>60</v>
      </c>
      <c r="AD1" s="214" t="s">
        <v>61</v>
      </c>
      <c r="AE1" s="214" t="s">
        <v>45</v>
      </c>
      <c r="AF1" s="214" t="s">
        <v>4</v>
      </c>
      <c r="AG1" s="215" t="s">
        <v>11</v>
      </c>
      <c r="AH1" s="215" t="s">
        <v>12</v>
      </c>
      <c r="AI1" s="215" t="s">
        <v>13</v>
      </c>
      <c r="AJ1" s="215" t="s">
        <v>14</v>
      </c>
      <c r="AK1" s="214" t="s">
        <v>62</v>
      </c>
      <c r="AL1" s="214" t="s">
        <v>63</v>
      </c>
      <c r="AM1" s="214" t="s">
        <v>15</v>
      </c>
      <c r="AN1" s="214" t="s">
        <v>64</v>
      </c>
      <c r="AO1" s="214" t="s">
        <v>65</v>
      </c>
    </row>
    <row r="2" spans="1:41" s="80" customFormat="1" ht="105.6" customHeight="1" x14ac:dyDescent="0.3">
      <c r="A2" s="83" t="s">
        <v>261</v>
      </c>
      <c r="B2" s="72" t="s">
        <v>215</v>
      </c>
      <c r="C2" s="72" t="s">
        <v>198</v>
      </c>
      <c r="D2" s="72" t="s">
        <v>225</v>
      </c>
      <c r="E2" s="73" t="str">
        <f>IFERROR(VLOOKUP(D2,DATOS!E:F,2,0),"-")</f>
        <v>PROY2</v>
      </c>
      <c r="F2" s="72" t="s">
        <v>226</v>
      </c>
      <c r="G2" s="73" t="str">
        <f>IFERROR(VLOOKUP(F2,DATOS!G:H,2,0),"-")</f>
        <v>C_3302_1603_12_20302B_3302001</v>
      </c>
      <c r="H2" s="72" t="s">
        <v>629</v>
      </c>
      <c r="I2" s="72" t="s">
        <v>537</v>
      </c>
      <c r="J2" s="72" t="s">
        <v>161</v>
      </c>
      <c r="K2" s="71">
        <v>6</v>
      </c>
      <c r="L2" s="76">
        <f t="shared" ref="L2:L11" si="0">(N2/M2)/K2</f>
        <v>5000000</v>
      </c>
      <c r="M2" s="71">
        <v>5</v>
      </c>
      <c r="N2" s="188">
        <f>IF(SUM(O2:R2)=0,"-",SUM(O2:R2))</f>
        <v>150000000</v>
      </c>
      <c r="O2" s="76"/>
      <c r="P2" s="76">
        <v>150000000</v>
      </c>
      <c r="Q2" s="76"/>
      <c r="R2" s="76"/>
      <c r="S2" s="150">
        <f>IF(D2="","-",VLOOKUP(D2,DATOS!$B$47:$C$48,2,0)-SUMIFS(P$2:P2,D$2:D2,D2))</f>
        <v>4851332655</v>
      </c>
      <c r="T2" s="150">
        <f>IF(D2="","-",VLOOKUP(D2,DATOS!$B$47:$D$48,3,0)-SUMIFS(Q$2:Q2,D$2:D2,D2))</f>
        <v>4173658461</v>
      </c>
      <c r="U2" s="150">
        <f>IF(D2="","-",VLOOKUP(D2,DATOS!$B$47:$E$48,4,0)-SUMIFS(R$2:R2,D$2:D2,D2))</f>
        <v>1008957397</v>
      </c>
      <c r="V2" s="150">
        <f>IF(H2="","-",VLOOKUP(H2,DATOS!$D$52:$E$75,2,0)-SUMIFS(N$2:N2,H$2:H2,H2))</f>
        <v>207104773</v>
      </c>
      <c r="W2" s="71"/>
      <c r="X2" s="71"/>
      <c r="Y2" s="72">
        <v>80101509</v>
      </c>
      <c r="Z2" s="166" t="str">
        <f>IF(I2="","",I2)</f>
        <v>Prestar servicios profesionales para realizar acciones oritentadas a la divulgación e implementación de la Política de Archivos y Gestión Documental, en el marco de la asistencia técnica y capacitación archivística en sus diferentes modalidades. SNA1</v>
      </c>
      <c r="AA2" s="71" t="s">
        <v>278</v>
      </c>
      <c r="AB2" s="71" t="s">
        <v>278</v>
      </c>
      <c r="AC2" s="71">
        <v>6</v>
      </c>
      <c r="AD2" s="71" t="s">
        <v>271</v>
      </c>
      <c r="AE2" s="72" t="str">
        <f>IF(J2="","",J2)</f>
        <v>Contratación directa</v>
      </c>
      <c r="AF2" s="72" t="str">
        <f>IF(SUM(O2:R2)=0,"-",IF(SUM(O2:P2)&gt;=SUM(Q2:R2),"Nación","Propios"))</f>
        <v>Nación</v>
      </c>
      <c r="AG2" s="167">
        <f>AH2</f>
        <v>150000000</v>
      </c>
      <c r="AH2" s="167">
        <f>IF(N2="","",N2)</f>
        <v>150000000</v>
      </c>
      <c r="AI2" s="71" t="s">
        <v>272</v>
      </c>
      <c r="AJ2" s="71" t="s">
        <v>273</v>
      </c>
      <c r="AK2" s="72" t="s">
        <v>274</v>
      </c>
      <c r="AL2" s="71" t="s">
        <v>275</v>
      </c>
      <c r="AM2" s="72" t="s">
        <v>546</v>
      </c>
      <c r="AN2" s="89">
        <v>3282888</v>
      </c>
      <c r="AO2" s="169" t="s">
        <v>547</v>
      </c>
    </row>
    <row r="3" spans="1:41" s="80" customFormat="1" ht="135.6" customHeight="1" x14ac:dyDescent="0.3">
      <c r="A3" s="83" t="s">
        <v>262</v>
      </c>
      <c r="B3" s="72" t="s">
        <v>215</v>
      </c>
      <c r="C3" s="72" t="s">
        <v>198</v>
      </c>
      <c r="D3" s="72" t="s">
        <v>225</v>
      </c>
      <c r="E3" s="73" t="str">
        <f>IFERROR(VLOOKUP(D3,DATOS!E:F,2,0),"-")</f>
        <v>PROY2</v>
      </c>
      <c r="F3" s="72" t="s">
        <v>226</v>
      </c>
      <c r="G3" s="73" t="str">
        <f>IFERROR(VLOOKUP(F3,DATOS!G:H,2,0),"-")</f>
        <v>C_3302_1603_12_20302B_3302001</v>
      </c>
      <c r="H3" s="72" t="s">
        <v>629</v>
      </c>
      <c r="I3" s="72" t="s">
        <v>538</v>
      </c>
      <c r="J3" s="72"/>
      <c r="K3" s="71"/>
      <c r="L3" s="76"/>
      <c r="M3" s="71" t="s">
        <v>324</v>
      </c>
      <c r="N3" s="188">
        <f>IF(SUM(O3:R3)=0,"-",SUM(O3:R3))</f>
        <v>20000000</v>
      </c>
      <c r="O3" s="76"/>
      <c r="P3" s="76">
        <v>20000000</v>
      </c>
      <c r="Q3" s="76"/>
      <c r="R3" s="76"/>
      <c r="S3" s="150">
        <f>IF(D3="","-",VLOOKUP(D3,DATOS!$B$47:$C$48,2,0)-SUMIFS(P$2:P3,D$2:D3,D3))</f>
        <v>4831332655</v>
      </c>
      <c r="T3" s="150">
        <f>IF(D3="","-",VLOOKUP(D3,DATOS!$B$47:$D$48,3,0)-SUMIFS(Q$2:Q3,D$2:D3,D3))</f>
        <v>4173658461</v>
      </c>
      <c r="U3" s="150">
        <f>IF(D3="","-",VLOOKUP(D3,DATOS!$B$47:$E$48,4,0)-SUMIFS(R$2:R3,D$2:D3,D3))</f>
        <v>1008957397</v>
      </c>
      <c r="V3" s="150">
        <f>IF(H3="","-",VLOOKUP(H3,DATOS!$D$52:$E$75,2,0)-SUMIFS(N$2:N3,H$2:H3,H3))</f>
        <v>187104773</v>
      </c>
      <c r="W3" s="71"/>
      <c r="X3" s="71" t="s">
        <v>295</v>
      </c>
      <c r="Y3" s="72"/>
      <c r="Z3" s="166"/>
      <c r="AA3" s="71"/>
      <c r="AB3" s="71"/>
      <c r="AC3" s="71"/>
      <c r="AD3" s="71"/>
      <c r="AE3" s="72"/>
      <c r="AF3" s="72"/>
      <c r="AG3" s="167"/>
      <c r="AH3" s="167"/>
      <c r="AI3" s="71"/>
      <c r="AJ3" s="71"/>
      <c r="AK3" s="72"/>
      <c r="AL3" s="71"/>
      <c r="AM3" s="72"/>
      <c r="AN3" s="89"/>
      <c r="AO3" s="169"/>
    </row>
    <row r="4" spans="1:41" s="80" customFormat="1" ht="150.6" customHeight="1" x14ac:dyDescent="0.3">
      <c r="A4" s="83" t="s">
        <v>263</v>
      </c>
      <c r="B4" s="72" t="s">
        <v>215</v>
      </c>
      <c r="C4" s="72" t="s">
        <v>198</v>
      </c>
      <c r="D4" s="72" t="s">
        <v>225</v>
      </c>
      <c r="E4" s="73" t="str">
        <f>IFERROR(VLOOKUP(D4,DATOS!E:F,2,0),"-")</f>
        <v>PROY2</v>
      </c>
      <c r="F4" s="72" t="s">
        <v>226</v>
      </c>
      <c r="G4" s="73" t="str">
        <f>IFERROR(VLOOKUP(F4,DATOS!G:H,2,0),"-")</f>
        <v>C_3302_1603_12_20302B_3302001</v>
      </c>
      <c r="H4" s="72" t="s">
        <v>629</v>
      </c>
      <c r="I4" s="72" t="s">
        <v>539</v>
      </c>
      <c r="J4" s="72"/>
      <c r="K4" s="71"/>
      <c r="L4" s="76"/>
      <c r="M4" s="71" t="s">
        <v>324</v>
      </c>
      <c r="N4" s="188">
        <f t="shared" ref="N4:N90" si="1">IF(SUM(O4:R4)=0,"-",SUM(O4:R4))</f>
        <v>20000000</v>
      </c>
      <c r="O4" s="76"/>
      <c r="P4" s="76">
        <v>20000000</v>
      </c>
      <c r="Q4" s="76"/>
      <c r="R4" s="76"/>
      <c r="S4" s="150">
        <f>IF(D4="","-",VLOOKUP(D4,DATOS!$B$47:$C$48,2,0)-SUMIFS(P$2:P4,D$2:D4,D4))</f>
        <v>4811332655</v>
      </c>
      <c r="T4" s="150">
        <f>IF(D4="","-",VLOOKUP(D4,DATOS!$B$47:$D$48,3,0)-SUMIFS(Q$2:Q4,D$2:D4,D4))</f>
        <v>4173658461</v>
      </c>
      <c r="U4" s="150">
        <f>IF(D4="","-",VLOOKUP(D4,DATOS!$B$47:$E$48,4,0)-SUMIFS(R$2:R4,D$2:D4,D4))</f>
        <v>1008957397</v>
      </c>
      <c r="V4" s="150">
        <f>IF(H4="","-",VLOOKUP(H4,DATOS!$D$52:$E$75,2,0)-SUMIFS(N$2:N4,H$2:H4,H4))</f>
        <v>167104773</v>
      </c>
      <c r="W4" s="71"/>
      <c r="X4" s="71" t="s">
        <v>295</v>
      </c>
      <c r="Y4" s="72"/>
      <c r="Z4" s="166"/>
      <c r="AA4" s="71"/>
      <c r="AB4" s="71"/>
      <c r="AC4" s="71"/>
      <c r="AD4" s="71"/>
      <c r="AE4" s="72"/>
      <c r="AF4" s="72"/>
      <c r="AG4" s="167"/>
      <c r="AH4" s="167"/>
      <c r="AI4" s="71"/>
      <c r="AJ4" s="71"/>
      <c r="AK4" s="72"/>
      <c r="AL4" s="71"/>
      <c r="AM4" s="72"/>
      <c r="AN4" s="89"/>
      <c r="AO4" s="169"/>
    </row>
    <row r="5" spans="1:41" s="80" customFormat="1" ht="84" customHeight="1" x14ac:dyDescent="0.3">
      <c r="A5" s="83" t="s">
        <v>264</v>
      </c>
      <c r="B5" s="72" t="s">
        <v>215</v>
      </c>
      <c r="C5" s="72" t="s">
        <v>198</v>
      </c>
      <c r="D5" s="72" t="s">
        <v>225</v>
      </c>
      <c r="E5" s="73" t="str">
        <f>IFERROR(VLOOKUP(D5,DATOS!E:F,2,0),"-")</f>
        <v>PROY2</v>
      </c>
      <c r="F5" s="72" t="s">
        <v>226</v>
      </c>
      <c r="G5" s="73" t="str">
        <f>IFERROR(VLOOKUP(F5,DATOS!G:H,2,0),"-")</f>
        <v>C_3302_1603_12_20302B_3302001</v>
      </c>
      <c r="H5" s="72" t="s">
        <v>630</v>
      </c>
      <c r="I5" s="82" t="s">
        <v>540</v>
      </c>
      <c r="J5" s="72" t="s">
        <v>161</v>
      </c>
      <c r="K5" s="81">
        <v>9</v>
      </c>
      <c r="L5" s="76">
        <f t="shared" si="0"/>
        <v>5361111.111111111</v>
      </c>
      <c r="M5" s="71">
        <v>8</v>
      </c>
      <c r="N5" s="188">
        <f t="shared" si="1"/>
        <v>386000000</v>
      </c>
      <c r="O5" s="76"/>
      <c r="P5" s="76">
        <v>10000000</v>
      </c>
      <c r="Q5" s="76">
        <f>456000000-80000000</f>
        <v>376000000</v>
      </c>
      <c r="R5" s="76"/>
      <c r="S5" s="150">
        <f>IF(D5="","-",VLOOKUP(D5,DATOS!$B$47:$C$48,2,0)-SUMIFS(P$2:P5,D$2:D5,D5))</f>
        <v>4801332655</v>
      </c>
      <c r="T5" s="150">
        <f>IF(D5="","-",VLOOKUP(D5,DATOS!$B$47:$D$48,3,0)-SUMIFS(Q$2:Q5,D$2:D5,D5))</f>
        <v>3797658461</v>
      </c>
      <c r="U5" s="150">
        <f>IF(D5="","-",VLOOKUP(D5,DATOS!$B$47:$E$48,4,0)-SUMIFS(R$2:R5,D$2:D5,D5))</f>
        <v>1008957397</v>
      </c>
      <c r="V5" s="150">
        <f>IF(H5="","-",VLOOKUP(H5,DATOS!$D$52:$E$75,2,0)-SUMIFS(N$2:N5,H$2:H5,H5))</f>
        <v>100000000</v>
      </c>
      <c r="W5" s="71"/>
      <c r="X5" s="71"/>
      <c r="Y5" s="72">
        <v>80101509</v>
      </c>
      <c r="Z5" s="166" t="str">
        <f>IF(I5="","",I5)</f>
        <v>Prestación de servicios profesionales para el desarrollo de acciones de asistencia técnica, capacitación y de resignficación a los grupos de valor del Programa de Achivos para la Paz. SNA4</v>
      </c>
      <c r="AA5" s="71" t="s">
        <v>278</v>
      </c>
      <c r="AB5" s="71" t="s">
        <v>278</v>
      </c>
      <c r="AC5" s="81">
        <v>9</v>
      </c>
      <c r="AD5" s="71" t="s">
        <v>271</v>
      </c>
      <c r="AE5" s="72" t="str">
        <f>IF(J5="","",J5)</f>
        <v>Contratación directa</v>
      </c>
      <c r="AF5" s="72" t="str">
        <f>IF(SUM(O5:R5)=0,"-",IF(SUM(O5:P5)&gt;=SUM(Q5:R5),"Nación","Propios"))</f>
        <v>Propios</v>
      </c>
      <c r="AG5" s="167">
        <f>AH5</f>
        <v>386000000</v>
      </c>
      <c r="AH5" s="167">
        <f>IF(N5="","",N5)</f>
        <v>386000000</v>
      </c>
      <c r="AI5" s="71" t="s">
        <v>272</v>
      </c>
      <c r="AJ5" s="71" t="s">
        <v>273</v>
      </c>
      <c r="AK5" s="72" t="s">
        <v>274</v>
      </c>
      <c r="AL5" s="71" t="s">
        <v>275</v>
      </c>
      <c r="AM5" s="72" t="s">
        <v>546</v>
      </c>
      <c r="AN5" s="89">
        <v>3282888</v>
      </c>
      <c r="AO5" s="169" t="s">
        <v>547</v>
      </c>
    </row>
    <row r="6" spans="1:41" s="80" customFormat="1" ht="91.8" customHeight="1" x14ac:dyDescent="0.3">
      <c r="A6" s="83" t="s">
        <v>265</v>
      </c>
      <c r="B6" s="72" t="s">
        <v>215</v>
      </c>
      <c r="C6" s="72" t="s">
        <v>198</v>
      </c>
      <c r="D6" s="72" t="s">
        <v>225</v>
      </c>
      <c r="E6" s="73" t="str">
        <f>IFERROR(VLOOKUP(D6,DATOS!E:F,2,0),"-")</f>
        <v>PROY2</v>
      </c>
      <c r="F6" s="72" t="s">
        <v>226</v>
      </c>
      <c r="G6" s="73" t="str">
        <f>IFERROR(VLOOKUP(F6,DATOS!G:H,2,0),"-")</f>
        <v>C_3302_1603_12_20302B_3302001</v>
      </c>
      <c r="H6" s="72" t="s">
        <v>630</v>
      </c>
      <c r="I6" s="82" t="s">
        <v>541</v>
      </c>
      <c r="J6" s="72" t="s">
        <v>161</v>
      </c>
      <c r="K6" s="71">
        <v>1</v>
      </c>
      <c r="L6" s="76">
        <f t="shared" si="0"/>
        <v>20000000</v>
      </c>
      <c r="M6" s="71">
        <v>1</v>
      </c>
      <c r="N6" s="188">
        <f t="shared" si="1"/>
        <v>20000000</v>
      </c>
      <c r="O6" s="76"/>
      <c r="P6" s="76"/>
      <c r="Q6" s="76">
        <v>20000000</v>
      </c>
      <c r="R6" s="76"/>
      <c r="S6" s="150">
        <f>IF(D6="","-",VLOOKUP(D6,DATOS!$B$47:$C$48,2,0)-SUMIFS(P$2:P6,D$2:D6,D6))</f>
        <v>4801332655</v>
      </c>
      <c r="T6" s="150">
        <f>IF(D6="","-",VLOOKUP(D6,DATOS!$B$47:$D$48,3,0)-SUMIFS(Q$2:Q6,D$2:D6,D6))</f>
        <v>3777658461</v>
      </c>
      <c r="U6" s="150">
        <f>IF(D6="","-",VLOOKUP(D6,DATOS!$B$47:$E$48,4,0)-SUMIFS(R$2:R6,D$2:D6,D6))</f>
        <v>1008957397</v>
      </c>
      <c r="V6" s="150">
        <f>IF(H6="","-",VLOOKUP(H6,DATOS!$D$52:$E$75,2,0)-SUMIFS(N$2:N6,H$2:H6,H6))</f>
        <v>80000000</v>
      </c>
      <c r="W6" s="71"/>
      <c r="X6" s="71"/>
      <c r="Y6" s="72" t="s">
        <v>548</v>
      </c>
      <c r="Z6" s="166" t="str">
        <f>IF(I6="","",I6)</f>
        <v>Alquiler de STAND Feria del Libro, con el propósito de adelantar acciones de divulgación y difusión del patrimonio documental colombiano en el marco de la Feria Internacional del Libro de Bogotá 2024. SNA5</v>
      </c>
      <c r="AA6" s="71" t="s">
        <v>278</v>
      </c>
      <c r="AB6" s="71" t="s">
        <v>277</v>
      </c>
      <c r="AC6" s="71">
        <v>1</v>
      </c>
      <c r="AD6" s="71" t="s">
        <v>271</v>
      </c>
      <c r="AE6" s="72" t="str">
        <f>IF(J6="","",J6)</f>
        <v>Contratación directa</v>
      </c>
      <c r="AF6" s="72" t="str">
        <f>IF(SUM(O6:R6)=0,"-",IF(SUM(O6:P6)&gt;=SUM(Q6:R6),"Nación","Propios"))</f>
        <v>Propios</v>
      </c>
      <c r="AG6" s="167">
        <f>AH6</f>
        <v>20000000</v>
      </c>
      <c r="AH6" s="167">
        <f>IF(N6="","",N6)</f>
        <v>20000000</v>
      </c>
      <c r="AI6" s="71" t="s">
        <v>272</v>
      </c>
      <c r="AJ6" s="71" t="s">
        <v>273</v>
      </c>
      <c r="AK6" s="72" t="s">
        <v>274</v>
      </c>
      <c r="AL6" s="71" t="s">
        <v>275</v>
      </c>
      <c r="AM6" s="72" t="s">
        <v>546</v>
      </c>
      <c r="AN6" s="89">
        <v>3282888</v>
      </c>
      <c r="AO6" s="169" t="s">
        <v>547</v>
      </c>
    </row>
    <row r="7" spans="1:41" s="80" customFormat="1" ht="69" x14ac:dyDescent="0.3">
      <c r="A7" s="83" t="s">
        <v>266</v>
      </c>
      <c r="B7" s="72" t="s">
        <v>215</v>
      </c>
      <c r="C7" s="72" t="s">
        <v>198</v>
      </c>
      <c r="D7" s="72" t="s">
        <v>225</v>
      </c>
      <c r="E7" s="73" t="str">
        <f>IFERROR(VLOOKUP(D7,DATOS!E:F,2,0),"-")</f>
        <v>PROY2</v>
      </c>
      <c r="F7" s="72" t="s">
        <v>226</v>
      </c>
      <c r="G7" s="73" t="str">
        <f>IFERROR(VLOOKUP(F7,DATOS!G:H,2,0),"-")</f>
        <v>C_3302_1603_12_20302B_3302001</v>
      </c>
      <c r="H7" s="72" t="s">
        <v>629</v>
      </c>
      <c r="I7" s="72" t="s">
        <v>542</v>
      </c>
      <c r="J7" s="72"/>
      <c r="K7" s="81"/>
      <c r="L7" s="76"/>
      <c r="M7" s="71" t="s">
        <v>324</v>
      </c>
      <c r="N7" s="188">
        <f t="shared" si="1"/>
        <v>24252386</v>
      </c>
      <c r="O7" s="76"/>
      <c r="P7" s="76"/>
      <c r="Q7" s="76">
        <v>22033261</v>
      </c>
      <c r="R7" s="76">
        <v>2219125</v>
      </c>
      <c r="S7" s="150">
        <f>IF(D7="","-",VLOOKUP(D7,DATOS!$B$47:$C$48,2,0)-SUMIFS(P$2:P7,D$2:D7,D7))</f>
        <v>4801332655</v>
      </c>
      <c r="T7" s="150">
        <f>IF(D7="","-",VLOOKUP(D7,DATOS!$B$47:$D$48,3,0)-SUMIFS(Q$2:Q7,D$2:D7,D7))</f>
        <v>3755625200</v>
      </c>
      <c r="U7" s="150">
        <f>IF(D7="","-",VLOOKUP(D7,DATOS!$B$47:$E$48,4,0)-SUMIFS(R$2:R7,D$2:D7,D7))</f>
        <v>1006738272</v>
      </c>
      <c r="V7" s="150">
        <f>IF(H7="","-",VLOOKUP(H7,DATOS!$D$52:$E$75,2,0)-SUMIFS(N$2:N7,H$2:H7,H7))</f>
        <v>142852387</v>
      </c>
      <c r="W7" s="71"/>
      <c r="X7" s="71" t="s">
        <v>295</v>
      </c>
      <c r="Y7" s="72"/>
      <c r="Z7" s="166"/>
      <c r="AA7" s="71"/>
      <c r="AB7" s="71"/>
      <c r="AC7" s="81"/>
      <c r="AD7" s="71"/>
      <c r="AE7" s="72"/>
      <c r="AF7" s="72"/>
      <c r="AG7" s="167"/>
      <c r="AH7" s="167"/>
      <c r="AI7" s="71"/>
      <c r="AJ7" s="71"/>
      <c r="AK7" s="72"/>
      <c r="AL7" s="71"/>
      <c r="AM7" s="72"/>
      <c r="AN7" s="89"/>
      <c r="AO7" s="169"/>
    </row>
    <row r="8" spans="1:41" s="80" customFormat="1" ht="69" x14ac:dyDescent="0.3">
      <c r="A8" s="83" t="s">
        <v>267</v>
      </c>
      <c r="B8" s="72" t="s">
        <v>215</v>
      </c>
      <c r="C8" s="72" t="s">
        <v>198</v>
      </c>
      <c r="D8" s="72" t="s">
        <v>225</v>
      </c>
      <c r="E8" s="73" t="str">
        <f>IFERROR(VLOOKUP(D8,DATOS!E:F,2,0),"-")</f>
        <v>PROY2</v>
      </c>
      <c r="F8" s="72" t="s">
        <v>226</v>
      </c>
      <c r="G8" s="73" t="str">
        <f>IFERROR(VLOOKUP(F8,DATOS!G:H,2,0),"-")</f>
        <v>C_3302_1603_12_20302B_3302001</v>
      </c>
      <c r="H8" s="72" t="s">
        <v>629</v>
      </c>
      <c r="I8" s="72" t="s">
        <v>625</v>
      </c>
      <c r="J8" s="72" t="s">
        <v>171</v>
      </c>
      <c r="K8" s="71">
        <v>10</v>
      </c>
      <c r="L8" s="76">
        <f t="shared" si="0"/>
        <v>2425238.7000000002</v>
      </c>
      <c r="M8" s="71">
        <v>1</v>
      </c>
      <c r="N8" s="188">
        <f t="shared" si="1"/>
        <v>24252387</v>
      </c>
      <c r="O8" s="76"/>
      <c r="P8" s="76"/>
      <c r="Q8" s="76"/>
      <c r="R8" s="76">
        <v>24252387</v>
      </c>
      <c r="S8" s="150">
        <f>IF(D8="","-",VLOOKUP(D8,DATOS!$B$47:$C$48,2,0)-SUMIFS(P$2:P8,D$2:D8,D8))</f>
        <v>4801332655</v>
      </c>
      <c r="T8" s="150">
        <f>IF(D8="","-",VLOOKUP(D8,DATOS!$B$47:$D$48,3,0)-SUMIFS(Q$2:Q8,D$2:D8,D8))</f>
        <v>3755625200</v>
      </c>
      <c r="U8" s="150">
        <f>IF(D8="","-",VLOOKUP(D8,DATOS!$B$47:$E$48,4,0)-SUMIFS(R$2:R8,D$2:D8,D8))</f>
        <v>982485885</v>
      </c>
      <c r="V8" s="150">
        <f>IF(H8="","-",VLOOKUP(H8,DATOS!$D$52:$E$75,2,0)-SUMIFS(N$2:N8,H$2:H8,H8))</f>
        <v>118600000</v>
      </c>
      <c r="W8" s="71"/>
      <c r="X8" s="71" t="s">
        <v>296</v>
      </c>
      <c r="Y8" s="72" t="s">
        <v>545</v>
      </c>
      <c r="Z8" s="166" t="str">
        <f t="shared" ref="Z8:Z15" si="2">IF(I8="","",I8)</f>
        <v>Prestar el servicio de suministro de tiquetes aéreos a nivel nacional e internacional, en tarifas económicas y en los horarios requeridos por el Archivo General de la Nación Jorge Palacios Preciado. SNA7</v>
      </c>
      <c r="AA8" s="71" t="s">
        <v>278</v>
      </c>
      <c r="AB8" s="71" t="s">
        <v>278</v>
      </c>
      <c r="AC8" s="71">
        <v>10</v>
      </c>
      <c r="AD8" s="71" t="s">
        <v>271</v>
      </c>
      <c r="AE8" s="72" t="str">
        <f t="shared" ref="AE8:AE48" si="3">IF(J8="","",J8)</f>
        <v>Selección abreviada de menor cuantía</v>
      </c>
      <c r="AF8" s="72" t="str">
        <f t="shared" ref="AF8:AF14" si="4">IF(SUM(O8:R8)=0,"-",IF(SUM(O8:P8)&gt;=SUM(Q8:R8),"Nación","Propios"))</f>
        <v>Propios</v>
      </c>
      <c r="AG8" s="167">
        <f t="shared" ref="AG8:AG13" si="5">AH8</f>
        <v>24252387</v>
      </c>
      <c r="AH8" s="167">
        <f t="shared" ref="AH8:AH15" si="6">IF(N8="","",N8)</f>
        <v>24252387</v>
      </c>
      <c r="AI8" s="71" t="s">
        <v>272</v>
      </c>
      <c r="AJ8" s="71" t="s">
        <v>273</v>
      </c>
      <c r="AK8" s="72" t="s">
        <v>274</v>
      </c>
      <c r="AL8" s="71" t="s">
        <v>275</v>
      </c>
      <c r="AM8" s="72" t="s">
        <v>546</v>
      </c>
      <c r="AN8" s="89">
        <v>3282888</v>
      </c>
      <c r="AO8" s="169" t="s">
        <v>547</v>
      </c>
    </row>
    <row r="9" spans="1:41" s="80" customFormat="1" ht="69" x14ac:dyDescent="0.3">
      <c r="A9" s="83" t="s">
        <v>268</v>
      </c>
      <c r="B9" s="72" t="s">
        <v>215</v>
      </c>
      <c r="C9" s="72" t="s">
        <v>198</v>
      </c>
      <c r="D9" s="72" t="s">
        <v>225</v>
      </c>
      <c r="E9" s="73" t="str">
        <f>IFERROR(VLOOKUP(D9,DATOS!E:F,2,0),"-")</f>
        <v>PROY2</v>
      </c>
      <c r="F9" s="72" t="s">
        <v>226</v>
      </c>
      <c r="G9" s="73" t="str">
        <f>IFERROR(VLOOKUP(F9,DATOS!G:H,2,0),"-")</f>
        <v>C_3302_1603_12_20302B_3302001</v>
      </c>
      <c r="H9" s="72" t="s">
        <v>629</v>
      </c>
      <c r="I9" s="72" t="s">
        <v>543</v>
      </c>
      <c r="J9" s="72" t="s">
        <v>161</v>
      </c>
      <c r="K9" s="71">
        <v>4</v>
      </c>
      <c r="L9" s="76">
        <f t="shared" si="0"/>
        <v>4500000</v>
      </c>
      <c r="M9" s="71">
        <v>1</v>
      </c>
      <c r="N9" s="188">
        <f t="shared" si="1"/>
        <v>18000000</v>
      </c>
      <c r="O9" s="76"/>
      <c r="P9" s="76"/>
      <c r="Q9" s="76"/>
      <c r="R9" s="76">
        <v>18000000</v>
      </c>
      <c r="S9" s="150">
        <f>IF(D9="","-",VLOOKUP(D9,DATOS!$B$47:$C$48,2,0)-SUMIFS(P$2:P9,D$2:D9,D9))</f>
        <v>4801332655</v>
      </c>
      <c r="T9" s="150">
        <f>IF(D9="","-",VLOOKUP(D9,DATOS!$B$47:$D$48,3,0)-SUMIFS(Q$2:Q9,D$2:D9,D9))</f>
        <v>3755625200</v>
      </c>
      <c r="U9" s="150">
        <f>IF(D9="","-",VLOOKUP(D9,DATOS!$B$47:$E$48,4,0)-SUMIFS(R$2:R9,D$2:D9,D9))</f>
        <v>964485885</v>
      </c>
      <c r="V9" s="150">
        <f>IF(H9="","-",VLOOKUP(H9,DATOS!$D$52:$E$75,2,0)-SUMIFS(N$2:N9,H$2:H9,H9))</f>
        <v>100600000</v>
      </c>
      <c r="W9" s="71"/>
      <c r="X9" s="71"/>
      <c r="Y9" s="72">
        <v>80101509</v>
      </c>
      <c r="Z9" s="166" t="str">
        <f t="shared" si="2"/>
        <v>Contratar los servicios de georreferenciador para la elaboración de mapas de geolocalización de datos relacionados con el Sistema Nacional de Archivos. SNA8</v>
      </c>
      <c r="AA9" s="71" t="s">
        <v>278</v>
      </c>
      <c r="AB9" s="71" t="s">
        <v>278</v>
      </c>
      <c r="AC9" s="71">
        <v>4</v>
      </c>
      <c r="AD9" s="71" t="s">
        <v>271</v>
      </c>
      <c r="AE9" s="72" t="str">
        <f t="shared" si="3"/>
        <v>Contratación directa</v>
      </c>
      <c r="AF9" s="72" t="str">
        <f t="shared" si="4"/>
        <v>Propios</v>
      </c>
      <c r="AG9" s="167">
        <f t="shared" si="5"/>
        <v>18000000</v>
      </c>
      <c r="AH9" s="167">
        <f t="shared" si="6"/>
        <v>18000000</v>
      </c>
      <c r="AI9" s="71" t="s">
        <v>272</v>
      </c>
      <c r="AJ9" s="71" t="s">
        <v>273</v>
      </c>
      <c r="AK9" s="72" t="s">
        <v>274</v>
      </c>
      <c r="AL9" s="71" t="s">
        <v>275</v>
      </c>
      <c r="AM9" s="72" t="s">
        <v>546</v>
      </c>
      <c r="AN9" s="89">
        <v>3282888</v>
      </c>
      <c r="AO9" s="169" t="s">
        <v>547</v>
      </c>
    </row>
    <row r="10" spans="1:41" s="80" customFormat="1" ht="69" x14ac:dyDescent="0.3">
      <c r="A10" s="83" t="s">
        <v>269</v>
      </c>
      <c r="B10" s="72" t="s">
        <v>215</v>
      </c>
      <c r="C10" s="72" t="s">
        <v>198</v>
      </c>
      <c r="D10" s="72" t="s">
        <v>225</v>
      </c>
      <c r="E10" s="73" t="str">
        <f>IFERROR(VLOOKUP(D10,DATOS!E:F,2,0),"-")</f>
        <v>PROY2</v>
      </c>
      <c r="F10" s="72" t="s">
        <v>226</v>
      </c>
      <c r="G10" s="73" t="str">
        <f>IFERROR(VLOOKUP(F10,DATOS!G:H,2,0),"-")</f>
        <v>C_3302_1603_12_20302B_3302001</v>
      </c>
      <c r="H10" s="72" t="s">
        <v>629</v>
      </c>
      <c r="I10" s="82" t="s">
        <v>544</v>
      </c>
      <c r="J10" s="72" t="s">
        <v>161</v>
      </c>
      <c r="K10" s="71">
        <v>9</v>
      </c>
      <c r="L10" s="76">
        <f t="shared" si="0"/>
        <v>3400000</v>
      </c>
      <c r="M10" s="71">
        <v>1</v>
      </c>
      <c r="N10" s="188">
        <f t="shared" si="1"/>
        <v>30600000</v>
      </c>
      <c r="O10" s="76"/>
      <c r="P10" s="76"/>
      <c r="Q10" s="76"/>
      <c r="R10" s="76">
        <v>30600000</v>
      </c>
      <c r="S10" s="150">
        <f>IF(D10="","-",VLOOKUP(D10,DATOS!$B$47:$C$48,2,0)-SUMIFS(P$2:P10,D$2:D10,D10))</f>
        <v>4801332655</v>
      </c>
      <c r="T10" s="150">
        <f>IF(D10="","-",VLOOKUP(D10,DATOS!$B$47:$D$48,3,0)-SUMIFS(Q$2:Q10,D$2:D10,D10))</f>
        <v>3755625200</v>
      </c>
      <c r="U10" s="150">
        <f>IF(D10="","-",VLOOKUP(D10,DATOS!$B$47:$E$48,4,0)-SUMIFS(R$2:R10,D$2:D10,D10))</f>
        <v>933885885</v>
      </c>
      <c r="V10" s="150">
        <f>IF(H10="","-",VLOOKUP(H10,DATOS!$D$52:$E$75,2,0)-SUMIFS(N$2:N10,H$2:H10,H10))</f>
        <v>70000000</v>
      </c>
      <c r="W10" s="71"/>
      <c r="X10" s="71"/>
      <c r="Y10" s="72">
        <v>80101509</v>
      </c>
      <c r="Z10" s="166" t="str">
        <f t="shared" si="2"/>
        <v>Prestar servicios técnicos para el soporte y manejo de las plataformas y sistemas asociados a los procesos de capacitación archivística. SNA9</v>
      </c>
      <c r="AA10" s="71" t="s">
        <v>278</v>
      </c>
      <c r="AB10" s="71" t="s">
        <v>278</v>
      </c>
      <c r="AC10" s="71">
        <v>9</v>
      </c>
      <c r="AD10" s="71" t="s">
        <v>271</v>
      </c>
      <c r="AE10" s="72" t="str">
        <f t="shared" si="3"/>
        <v>Contratación directa</v>
      </c>
      <c r="AF10" s="72" t="str">
        <f t="shared" si="4"/>
        <v>Propios</v>
      </c>
      <c r="AG10" s="167">
        <f t="shared" si="5"/>
        <v>30600000</v>
      </c>
      <c r="AH10" s="167">
        <f t="shared" si="6"/>
        <v>30600000</v>
      </c>
      <c r="AI10" s="71" t="s">
        <v>272</v>
      </c>
      <c r="AJ10" s="71" t="s">
        <v>273</v>
      </c>
      <c r="AK10" s="72" t="s">
        <v>274</v>
      </c>
      <c r="AL10" s="71" t="s">
        <v>275</v>
      </c>
      <c r="AM10" s="72" t="s">
        <v>546</v>
      </c>
      <c r="AN10" s="89">
        <v>3282888</v>
      </c>
      <c r="AO10" s="169" t="s">
        <v>547</v>
      </c>
    </row>
    <row r="11" spans="1:41" s="80" customFormat="1" ht="120" customHeight="1" x14ac:dyDescent="0.3">
      <c r="A11" s="83" t="s">
        <v>270</v>
      </c>
      <c r="B11" s="72" t="s">
        <v>215</v>
      </c>
      <c r="C11" s="72" t="s">
        <v>198</v>
      </c>
      <c r="D11" s="72" t="s">
        <v>225</v>
      </c>
      <c r="E11" s="73" t="str">
        <f>IFERROR(VLOOKUP(D11,DATOS!E:F,2,0),"-")</f>
        <v>PROY2</v>
      </c>
      <c r="F11" s="72" t="s">
        <v>226</v>
      </c>
      <c r="G11" s="73" t="str">
        <f>IFERROR(VLOOKUP(F11,DATOS!G:H,2,0),"-")</f>
        <v>C_3302_1603_12_20302B_3302001</v>
      </c>
      <c r="H11" s="72" t="s">
        <v>629</v>
      </c>
      <c r="I11" s="82" t="s">
        <v>816</v>
      </c>
      <c r="J11" s="72" t="s">
        <v>161</v>
      </c>
      <c r="K11" s="71">
        <v>2</v>
      </c>
      <c r="L11" s="76">
        <f t="shared" si="0"/>
        <v>8750000</v>
      </c>
      <c r="M11" s="71">
        <v>4</v>
      </c>
      <c r="N11" s="188">
        <f t="shared" si="1"/>
        <v>70000000</v>
      </c>
      <c r="O11" s="76"/>
      <c r="P11" s="76"/>
      <c r="Q11" s="76"/>
      <c r="R11" s="76">
        <v>70000000</v>
      </c>
      <c r="S11" s="150">
        <f>IF(D11="","-",VLOOKUP(D11,DATOS!$B$47:$C$48,2,0)-SUMIFS(P$2:P11,D$2:D11,D11))</f>
        <v>4801332655</v>
      </c>
      <c r="T11" s="150">
        <f>IF(D11="","-",VLOOKUP(D11,DATOS!$B$47:$D$48,3,0)-SUMIFS(Q$2:Q11,D$2:D11,D11))</f>
        <v>3755625200</v>
      </c>
      <c r="U11" s="150">
        <f>IF(D11="","-",VLOOKUP(D11,DATOS!$B$47:$E$48,4,0)-SUMIFS(R$2:R11,D$2:D11,D11))</f>
        <v>863885885</v>
      </c>
      <c r="V11" s="150">
        <f>IF(H11="","-",VLOOKUP(H11,DATOS!$D$52:$E$75,2,0)-SUMIFS(N$2:N11,H$2:H11,H11))</f>
        <v>0</v>
      </c>
      <c r="W11" s="71"/>
      <c r="X11" s="71"/>
      <c r="Y11" s="72">
        <v>80101509</v>
      </c>
      <c r="Z11" s="166" t="str">
        <f t="shared" si="2"/>
        <v>Prestación de servicios profesionales de abogado para apoyar los procesos de gestión contractual del Archivo General de la Nación. SNA10</v>
      </c>
      <c r="AA11" s="71" t="s">
        <v>292</v>
      </c>
      <c r="AB11" s="71" t="s">
        <v>292</v>
      </c>
      <c r="AC11" s="71">
        <v>2</v>
      </c>
      <c r="AD11" s="71" t="s">
        <v>271</v>
      </c>
      <c r="AE11" s="72" t="str">
        <f t="shared" si="3"/>
        <v>Contratación directa</v>
      </c>
      <c r="AF11" s="72" t="str">
        <f t="shared" si="4"/>
        <v>Propios</v>
      </c>
      <c r="AG11" s="167">
        <f t="shared" si="5"/>
        <v>70000000</v>
      </c>
      <c r="AH11" s="167">
        <f t="shared" si="6"/>
        <v>70000000</v>
      </c>
      <c r="AI11" s="71" t="s">
        <v>272</v>
      </c>
      <c r="AJ11" s="71" t="s">
        <v>273</v>
      </c>
      <c r="AK11" s="72" t="s">
        <v>274</v>
      </c>
      <c r="AL11" s="71" t="s">
        <v>275</v>
      </c>
      <c r="AM11" s="72" t="s">
        <v>546</v>
      </c>
      <c r="AN11" s="89">
        <v>3282888</v>
      </c>
      <c r="AO11" s="169" t="s">
        <v>547</v>
      </c>
    </row>
    <row r="12" spans="1:41" s="80" customFormat="1" ht="84" customHeight="1" x14ac:dyDescent="0.3">
      <c r="A12" s="83" t="s">
        <v>782</v>
      </c>
      <c r="B12" s="72" t="s">
        <v>215</v>
      </c>
      <c r="C12" s="72" t="s">
        <v>198</v>
      </c>
      <c r="D12" s="72" t="s">
        <v>225</v>
      </c>
      <c r="E12" s="73" t="str">
        <f>IFERROR(VLOOKUP(D12,DATOS!E:F,2,0),"-")</f>
        <v>PROY2</v>
      </c>
      <c r="F12" s="72" t="s">
        <v>226</v>
      </c>
      <c r="G12" s="73" t="str">
        <f>IFERROR(VLOOKUP(F12,DATOS!G:H,2,0),"-")</f>
        <v>C_3302_1603_12_20302B_3302001</v>
      </c>
      <c r="H12" s="72" t="s">
        <v>630</v>
      </c>
      <c r="I12" s="72" t="s">
        <v>784</v>
      </c>
      <c r="J12" s="72" t="s">
        <v>161</v>
      </c>
      <c r="K12" s="81">
        <v>10</v>
      </c>
      <c r="L12" s="76">
        <f t="shared" ref="L12" si="7">(N12/M12)/K12</f>
        <v>8000000</v>
      </c>
      <c r="M12" s="71">
        <v>1</v>
      </c>
      <c r="N12" s="188">
        <f t="shared" ref="N12" si="8">IF(SUM(O12:R12)=0,"-",SUM(O12:R12))</f>
        <v>80000000</v>
      </c>
      <c r="O12" s="76"/>
      <c r="P12" s="76"/>
      <c r="Q12" s="76">
        <v>80000000</v>
      </c>
      <c r="R12" s="76"/>
      <c r="S12" s="150">
        <f>IF(D12="","-",VLOOKUP(D12,DATOS!$B$47:$C$48,2,0)-SUMIFS(P$2:P12,D$2:D12,D12))</f>
        <v>4801332655</v>
      </c>
      <c r="T12" s="150">
        <f>IF(D12="","-",VLOOKUP(D12,DATOS!$B$47:$D$48,3,0)-SUMIFS(Q$2:Q12,D$2:D12,D12))</f>
        <v>3675625200</v>
      </c>
      <c r="U12" s="150">
        <f>IF(D12="","-",VLOOKUP(D12,DATOS!$B$47:$E$48,4,0)-SUMIFS(R$2:R12,D$2:D12,D12))</f>
        <v>863885885</v>
      </c>
      <c r="V12" s="150">
        <f>IF(H12="","-",VLOOKUP(H12,DATOS!$D$52:$E$75,2,0)-SUMIFS(N$2:N12,H$2:H12,H12))</f>
        <v>0</v>
      </c>
      <c r="W12" s="71"/>
      <c r="X12" s="71"/>
      <c r="Y12" s="72">
        <v>80101509</v>
      </c>
      <c r="Z12" s="166" t="str">
        <f t="shared" si="2"/>
        <v>Apoyar al Archivo General de la Nación en el desarrollo de un plan de comunicaciones para el programa de Archivos para la Paz y los programas y eventos relacionados con el Sistema Nacional de Archivos y sus actores. SNA11</v>
      </c>
      <c r="AA12" s="71" t="s">
        <v>278</v>
      </c>
      <c r="AB12" s="71" t="s">
        <v>278</v>
      </c>
      <c r="AC12" s="81">
        <v>10</v>
      </c>
      <c r="AD12" s="71" t="s">
        <v>271</v>
      </c>
      <c r="AE12" s="72" t="str">
        <f t="shared" si="3"/>
        <v>Contratación directa</v>
      </c>
      <c r="AF12" s="72" t="str">
        <f>IF(SUM(O12:R12)=0,"-",IF(SUM(O12:P12)&gt;=SUM(Q12:R12),"Nación","Propios"))</f>
        <v>Propios</v>
      </c>
      <c r="AG12" s="167">
        <f t="shared" si="5"/>
        <v>80000000</v>
      </c>
      <c r="AH12" s="167">
        <f t="shared" si="6"/>
        <v>80000000</v>
      </c>
      <c r="AI12" s="71" t="s">
        <v>272</v>
      </c>
      <c r="AJ12" s="71" t="s">
        <v>273</v>
      </c>
      <c r="AK12" s="72" t="s">
        <v>274</v>
      </c>
      <c r="AL12" s="71" t="s">
        <v>275</v>
      </c>
      <c r="AM12" s="72" t="s">
        <v>546</v>
      </c>
      <c r="AN12" s="89">
        <v>3282888</v>
      </c>
      <c r="AO12" s="169" t="s">
        <v>547</v>
      </c>
    </row>
    <row r="13" spans="1:41" s="80" customFormat="1" ht="102.6" customHeight="1" x14ac:dyDescent="0.3">
      <c r="A13" s="83" t="s">
        <v>252</v>
      </c>
      <c r="B13" s="72" t="s">
        <v>208</v>
      </c>
      <c r="C13" s="72" t="s">
        <v>198</v>
      </c>
      <c r="D13" s="72" t="s">
        <v>225</v>
      </c>
      <c r="E13" s="73" t="str">
        <f>IFERROR(VLOOKUP(D13,DATOS!E:F,2,0),"-")</f>
        <v>PROY2</v>
      </c>
      <c r="F13" s="72" t="s">
        <v>227</v>
      </c>
      <c r="G13" s="73" t="str">
        <f>IFERROR(VLOOKUP(F13,DATOS!G:H,2,0),"-")</f>
        <v>C_3302_1603_12_20302B_3302002</v>
      </c>
      <c r="H13" s="72" t="s">
        <v>230</v>
      </c>
      <c r="I13" s="82" t="s">
        <v>281</v>
      </c>
      <c r="J13" s="72" t="s">
        <v>162</v>
      </c>
      <c r="K13" s="71">
        <v>6</v>
      </c>
      <c r="L13" s="76">
        <f>(N13/M13)/K13</f>
        <v>5500000</v>
      </c>
      <c r="M13" s="71">
        <v>2</v>
      </c>
      <c r="N13" s="189">
        <f t="shared" si="1"/>
        <v>66000000</v>
      </c>
      <c r="O13" s="76">
        <v>0</v>
      </c>
      <c r="P13" s="76">
        <v>66000000</v>
      </c>
      <c r="Q13" s="76"/>
      <c r="R13" s="76">
        <v>0</v>
      </c>
      <c r="S13" s="150">
        <f>IF(D13="","-",VLOOKUP(D13,DATOS!$B$47:$C$48,2,0)-SUMIFS(P$2:P13,D$2:D13,D13))</f>
        <v>4735332655</v>
      </c>
      <c r="T13" s="150">
        <f>IF(D13="","-",VLOOKUP(D13,DATOS!$B$47:$D$48,3,0)-SUMIFS(Q$2:Q13,D$2:D13,D13))</f>
        <v>3675625200</v>
      </c>
      <c r="U13" s="150">
        <f>IF(D13="","-",VLOOKUP(D13,DATOS!$B$47:$E$48,4,0)-SUMIFS(R$2:R13,D$2:D13,D13))</f>
        <v>863885885</v>
      </c>
      <c r="V13" s="150">
        <f>IF(H13="","-",VLOOKUP(H13,DATOS!$D$52:$E$75,2,0)-SUMIFS(N$2:N13,H$2:H13,H13))</f>
        <v>98500000</v>
      </c>
      <c r="W13" s="71"/>
      <c r="X13" s="71"/>
      <c r="Y13" s="72" t="s">
        <v>291</v>
      </c>
      <c r="Z13" s="166" t="str">
        <f t="shared" si="2"/>
        <v>Elaboración informes técnicos para la validación de resultados en los procesos de evaluación de la Función Archivística, en desarrollo de los planes y programas de la subdirección. SPA 1</v>
      </c>
      <c r="AA13" s="71" t="s">
        <v>292</v>
      </c>
      <c r="AB13" s="71" t="s">
        <v>278</v>
      </c>
      <c r="AC13" s="71">
        <v>6</v>
      </c>
      <c r="AD13" s="71" t="s">
        <v>271</v>
      </c>
      <c r="AE13" s="72" t="str">
        <f t="shared" si="3"/>
        <v>Contratación directa (con ofertas)</v>
      </c>
      <c r="AF13" s="72" t="str">
        <f t="shared" si="4"/>
        <v>Nación</v>
      </c>
      <c r="AG13" s="167">
        <f t="shared" si="5"/>
        <v>66000000</v>
      </c>
      <c r="AH13" s="167">
        <f t="shared" si="6"/>
        <v>66000000</v>
      </c>
      <c r="AI13" s="71" t="s">
        <v>272</v>
      </c>
      <c r="AJ13" s="71" t="s">
        <v>273</v>
      </c>
      <c r="AK13" s="72" t="s">
        <v>274</v>
      </c>
      <c r="AL13" s="71" t="s">
        <v>275</v>
      </c>
      <c r="AM13" s="89" t="s">
        <v>535</v>
      </c>
      <c r="AN13" s="89">
        <v>3282888</v>
      </c>
      <c r="AO13" s="170" t="s">
        <v>536</v>
      </c>
    </row>
    <row r="14" spans="1:41" s="80" customFormat="1" ht="63.75" customHeight="1" x14ac:dyDescent="0.3">
      <c r="A14" s="83" t="s">
        <v>253</v>
      </c>
      <c r="B14" s="72" t="s">
        <v>208</v>
      </c>
      <c r="C14" s="72" t="s">
        <v>198</v>
      </c>
      <c r="D14" s="72" t="s">
        <v>225</v>
      </c>
      <c r="E14" s="73" t="str">
        <f>IFERROR(VLOOKUP(D14,DATOS!E:F,2,0),"-")</f>
        <v>PROY2</v>
      </c>
      <c r="F14" s="72" t="s">
        <v>227</v>
      </c>
      <c r="G14" s="73" t="str">
        <f>IFERROR(VLOOKUP(F14,DATOS!G:H,2,0),"-")</f>
        <v>C_3302_1603_12_20302B_3302002</v>
      </c>
      <c r="H14" s="72" t="s">
        <v>230</v>
      </c>
      <c r="I14" s="82" t="s">
        <v>282</v>
      </c>
      <c r="J14" s="72" t="s">
        <v>161</v>
      </c>
      <c r="K14" s="71">
        <v>6</v>
      </c>
      <c r="L14" s="76">
        <f t="shared" ref="L14:L89" si="9">(N14/M14)/K14</f>
        <v>5500000</v>
      </c>
      <c r="M14" s="71">
        <v>1</v>
      </c>
      <c r="N14" s="189">
        <f t="shared" si="1"/>
        <v>33000000</v>
      </c>
      <c r="O14" s="76">
        <v>0</v>
      </c>
      <c r="P14" s="76">
        <v>33000000</v>
      </c>
      <c r="Q14" s="76"/>
      <c r="R14" s="76">
        <v>0</v>
      </c>
      <c r="S14" s="150">
        <f>IF(D14="","-",VLOOKUP(D14,DATOS!$B$47:$C$48,2,0)-SUMIFS(P$2:P14,D$2:D14,D14))</f>
        <v>4702332655</v>
      </c>
      <c r="T14" s="150">
        <f>IF(D14="","-",VLOOKUP(D14,DATOS!$B$47:$D$48,3,0)-SUMIFS(Q$2:Q14,D$2:D14,D14))</f>
        <v>3675625200</v>
      </c>
      <c r="U14" s="150">
        <f>IF(D14="","-",VLOOKUP(D14,DATOS!$B$47:$E$48,4,0)-SUMIFS(R$2:R14,D$2:D14,D14))</f>
        <v>863885885</v>
      </c>
      <c r="V14" s="150">
        <f>IF(H14="","-",VLOOKUP(H14,DATOS!$D$52:$E$75,2,0)-SUMIFS(N$2:N14,H$2:H14,H14))</f>
        <v>65500000</v>
      </c>
      <c r="W14" s="71"/>
      <c r="X14" s="71"/>
      <c r="Y14" s="82" t="s">
        <v>291</v>
      </c>
      <c r="Z14" s="166" t="str">
        <f t="shared" si="2"/>
        <v>Elaboración de informes técnicos en materia de regulación de políticas públicas y en desarrollo de los planes y programas de la subdirección.  SPA 2</v>
      </c>
      <c r="AA14" s="71" t="s">
        <v>278</v>
      </c>
      <c r="AB14" s="71" t="s">
        <v>278</v>
      </c>
      <c r="AC14" s="71">
        <v>6</v>
      </c>
      <c r="AD14" s="71" t="s">
        <v>271</v>
      </c>
      <c r="AE14" s="82" t="str">
        <f t="shared" si="3"/>
        <v>Contratación directa</v>
      </c>
      <c r="AF14" s="72" t="str">
        <f t="shared" si="4"/>
        <v>Nación</v>
      </c>
      <c r="AG14" s="167">
        <f t="shared" ref="AG14:AG22" si="10">AH14</f>
        <v>33000000</v>
      </c>
      <c r="AH14" s="167">
        <f t="shared" si="6"/>
        <v>33000000</v>
      </c>
      <c r="AI14" s="71" t="s">
        <v>272</v>
      </c>
      <c r="AJ14" s="71" t="s">
        <v>273</v>
      </c>
      <c r="AK14" s="72" t="s">
        <v>274</v>
      </c>
      <c r="AL14" s="71" t="s">
        <v>275</v>
      </c>
      <c r="AM14" s="89" t="s">
        <v>535</v>
      </c>
      <c r="AN14" s="89">
        <v>3282888</v>
      </c>
      <c r="AO14" s="170" t="s">
        <v>536</v>
      </c>
    </row>
    <row r="15" spans="1:41" s="80" customFormat="1" ht="78" customHeight="1" x14ac:dyDescent="0.3">
      <c r="A15" s="83" t="s">
        <v>254</v>
      </c>
      <c r="B15" s="72" t="s">
        <v>208</v>
      </c>
      <c r="C15" s="72" t="s">
        <v>198</v>
      </c>
      <c r="D15" s="72" t="s">
        <v>225</v>
      </c>
      <c r="E15" s="73" t="str">
        <f>IFERROR(VLOOKUP(D15,DATOS!E:F,2,0),"-")</f>
        <v>PROY2</v>
      </c>
      <c r="F15" s="72" t="s">
        <v>227</v>
      </c>
      <c r="G15" s="73" t="str">
        <f>IFERROR(VLOOKUP(F15,DATOS!G:H,2,0),"-")</f>
        <v>C_3302_1603_12_20302B_3302002</v>
      </c>
      <c r="H15" s="72" t="s">
        <v>230</v>
      </c>
      <c r="I15" s="82" t="s">
        <v>283</v>
      </c>
      <c r="J15" s="72" t="s">
        <v>162</v>
      </c>
      <c r="K15" s="71">
        <v>3</v>
      </c>
      <c r="L15" s="76">
        <f t="shared" si="9"/>
        <v>5500000</v>
      </c>
      <c r="M15" s="71">
        <v>2</v>
      </c>
      <c r="N15" s="189">
        <f t="shared" si="1"/>
        <v>33000000</v>
      </c>
      <c r="O15" s="76">
        <v>0</v>
      </c>
      <c r="P15" s="76"/>
      <c r="Q15" s="76">
        <v>33000000</v>
      </c>
      <c r="R15" s="76">
        <v>0</v>
      </c>
      <c r="S15" s="150">
        <f>IF(D15="","-",VLOOKUP(D15,DATOS!$B$47:$C$48,2,0)-SUMIFS(P$2:P15,D$2:D15,D15))</f>
        <v>4702332655</v>
      </c>
      <c r="T15" s="150">
        <f>IF(D15="","-",VLOOKUP(D15,DATOS!$B$47:$D$48,3,0)-SUMIFS(Q$2:Q15,D$2:D15,D15))</f>
        <v>3642625200</v>
      </c>
      <c r="U15" s="150">
        <f>IF(D15="","-",VLOOKUP(D15,DATOS!$B$47:$E$48,4,0)-SUMIFS(R$2:R15,D$2:D15,D15))</f>
        <v>863885885</v>
      </c>
      <c r="V15" s="150">
        <f>IF(H15="","-",VLOOKUP(H15,DATOS!$D$52:$E$75,2,0)-SUMIFS(N$2:N15,H$2:H15,H15))</f>
        <v>32500000</v>
      </c>
      <c r="W15" s="71"/>
      <c r="X15" s="71"/>
      <c r="Y15" s="82" t="s">
        <v>291</v>
      </c>
      <c r="Z15" s="166" t="str">
        <f t="shared" si="2"/>
        <v>Elaboración informes técnicos para la validación de resultados en los procesos de evaluación de la Función Archivística, en desarrollo de los planes y programas de la subdirección. SPA 3</v>
      </c>
      <c r="AA15" s="71" t="s">
        <v>293</v>
      </c>
      <c r="AB15" s="71" t="s">
        <v>294</v>
      </c>
      <c r="AC15" s="71">
        <v>3</v>
      </c>
      <c r="AD15" s="71" t="s">
        <v>271</v>
      </c>
      <c r="AE15" s="82" t="str">
        <f t="shared" si="3"/>
        <v>Contratación directa (con ofertas)</v>
      </c>
      <c r="AF15" s="72" t="str">
        <f t="shared" ref="AF15:AF43" si="11">IF(SUM(O15:R15)=0,"-",IF(SUM(O15:P15)&gt;=SUM(Q15:R15),"Nación","Propios"))</f>
        <v>Propios</v>
      </c>
      <c r="AG15" s="167">
        <f t="shared" si="10"/>
        <v>33000000</v>
      </c>
      <c r="AH15" s="167">
        <f t="shared" si="6"/>
        <v>33000000</v>
      </c>
      <c r="AI15" s="71" t="s">
        <v>272</v>
      </c>
      <c r="AJ15" s="71" t="s">
        <v>273</v>
      </c>
      <c r="AK15" s="72" t="s">
        <v>274</v>
      </c>
      <c r="AL15" s="71" t="s">
        <v>275</v>
      </c>
      <c r="AM15" s="89" t="s">
        <v>535</v>
      </c>
      <c r="AN15" s="89">
        <v>3282888</v>
      </c>
      <c r="AO15" s="170" t="s">
        <v>536</v>
      </c>
    </row>
    <row r="16" spans="1:41" s="80" customFormat="1" ht="63.75" customHeight="1" x14ac:dyDescent="0.3">
      <c r="A16" s="83" t="s">
        <v>256</v>
      </c>
      <c r="B16" s="72" t="s">
        <v>208</v>
      </c>
      <c r="C16" s="72" t="s">
        <v>198</v>
      </c>
      <c r="D16" s="72" t="s">
        <v>225</v>
      </c>
      <c r="E16" s="73" t="str">
        <f>IFERROR(VLOOKUP(D16,DATOS!E:F,2,0),"-")</f>
        <v>PROY2</v>
      </c>
      <c r="F16" s="72" t="s">
        <v>227</v>
      </c>
      <c r="G16" s="73" t="str">
        <f>IFERROR(VLOOKUP(F16,DATOS!G:H,2,0),"-")</f>
        <v>C_3302_1603_12_20302B_3302002</v>
      </c>
      <c r="H16" s="72" t="s">
        <v>230</v>
      </c>
      <c r="I16" s="82" t="s">
        <v>255</v>
      </c>
      <c r="J16" s="72"/>
      <c r="K16" s="71">
        <v>1</v>
      </c>
      <c r="L16" s="76">
        <f t="shared" si="9"/>
        <v>10000000</v>
      </c>
      <c r="M16" s="71">
        <v>1</v>
      </c>
      <c r="N16" s="189">
        <f t="shared" si="1"/>
        <v>10000000</v>
      </c>
      <c r="O16" s="76">
        <v>0</v>
      </c>
      <c r="P16" s="76"/>
      <c r="Q16" s="76">
        <v>10000000</v>
      </c>
      <c r="R16" s="76">
        <v>0</v>
      </c>
      <c r="S16" s="150">
        <f>IF(D16="","-",VLOOKUP(D16,DATOS!$B$47:$C$48,2,0)-SUMIFS(P$2:P16,D$2:D16,D16))</f>
        <v>4702332655</v>
      </c>
      <c r="T16" s="150">
        <f>IF(D16="","-",VLOOKUP(D16,DATOS!$B$47:$D$48,3,0)-SUMIFS(Q$2:Q16,D$2:D16,D16))</f>
        <v>3632625200</v>
      </c>
      <c r="U16" s="150">
        <f>IF(D16="","-",VLOOKUP(D16,DATOS!$B$47:$E$48,4,0)-SUMIFS(R$2:R16,D$2:D16,D16))</f>
        <v>863885885</v>
      </c>
      <c r="V16" s="150">
        <f>IF(H16="","-",VLOOKUP(H16,DATOS!$D$52:$E$75,2,0)-SUMIFS(N$2:N16,H$2:H16,H16))</f>
        <v>22500000</v>
      </c>
      <c r="W16" s="71"/>
      <c r="X16" s="71" t="s">
        <v>295</v>
      </c>
      <c r="Y16" s="72"/>
      <c r="Z16" s="166"/>
      <c r="AA16" s="71"/>
      <c r="AB16" s="71"/>
      <c r="AC16" s="71"/>
      <c r="AD16" s="71"/>
      <c r="AE16" s="72" t="str">
        <f t="shared" si="3"/>
        <v/>
      </c>
      <c r="AF16" s="72"/>
      <c r="AG16" s="167"/>
      <c r="AH16" s="167"/>
      <c r="AI16" s="71"/>
      <c r="AJ16" s="71"/>
      <c r="AK16" s="72"/>
      <c r="AL16" s="71"/>
      <c r="AM16" s="89"/>
      <c r="AN16" s="89"/>
      <c r="AO16" s="89"/>
    </row>
    <row r="17" spans="1:41" s="80" customFormat="1" ht="72.599999999999994" customHeight="1" x14ac:dyDescent="0.3">
      <c r="A17" s="83" t="s">
        <v>257</v>
      </c>
      <c r="B17" s="72" t="s">
        <v>208</v>
      </c>
      <c r="C17" s="72" t="s">
        <v>198</v>
      </c>
      <c r="D17" s="72" t="s">
        <v>225</v>
      </c>
      <c r="E17" s="73" t="str">
        <f>IFERROR(VLOOKUP(D17,DATOS!E:F,2,0),"-")</f>
        <v>PROY2</v>
      </c>
      <c r="F17" s="72" t="s">
        <v>227</v>
      </c>
      <c r="G17" s="73" t="str">
        <f>IFERROR(VLOOKUP(F17,DATOS!G:H,2,0),"-")</f>
        <v>C_3302_1603_12_20302B_3302002</v>
      </c>
      <c r="H17" s="72" t="s">
        <v>230</v>
      </c>
      <c r="I17" s="72" t="s">
        <v>626</v>
      </c>
      <c r="J17" s="72" t="s">
        <v>171</v>
      </c>
      <c r="K17" s="71">
        <v>10</v>
      </c>
      <c r="L17" s="76">
        <f t="shared" si="9"/>
        <v>2250000</v>
      </c>
      <c r="M17" s="71">
        <v>1</v>
      </c>
      <c r="N17" s="189">
        <f t="shared" si="1"/>
        <v>22500000</v>
      </c>
      <c r="O17" s="76">
        <v>0</v>
      </c>
      <c r="P17" s="76"/>
      <c r="Q17" s="76">
        <v>22500000</v>
      </c>
      <c r="R17" s="76">
        <v>0</v>
      </c>
      <c r="S17" s="150">
        <f>IF(D17="","-",VLOOKUP(D17,DATOS!$B$47:$C$48,2,0)-SUMIFS(P$2:P17,D$2:D17,D17))</f>
        <v>4702332655</v>
      </c>
      <c r="T17" s="150">
        <f>IF(D17="","-",VLOOKUP(D17,DATOS!$B$47:$D$48,3,0)-SUMIFS(Q$2:Q17,D$2:D17,D17))</f>
        <v>3610125200</v>
      </c>
      <c r="U17" s="150">
        <f>IF(D17="","-",VLOOKUP(D17,DATOS!$B$47:$E$48,4,0)-SUMIFS(R$2:R17,D$2:D17,D17))</f>
        <v>863885885</v>
      </c>
      <c r="V17" s="150">
        <f>IF(H17="","-",VLOOKUP(H17,DATOS!$D$52:$E$75,2,0)-SUMIFS(N$2:N17,H$2:H17,H17))</f>
        <v>0</v>
      </c>
      <c r="W17" s="71"/>
      <c r="X17" s="71" t="s">
        <v>296</v>
      </c>
      <c r="Y17" s="72" t="s">
        <v>545</v>
      </c>
      <c r="Z17" s="166" t="str">
        <f t="shared" ref="Z17:Z48" si="12">IF(I17="","",I17)</f>
        <v>Prestar el servicio de suministro de tiquetes aéreos a nivel nacional e internacional, en tarifas económicas y en los horarios requeridos por el Archivo General de la Nación Jorge Palacios Preciado. SPA 5</v>
      </c>
      <c r="AA17" s="71" t="s">
        <v>278</v>
      </c>
      <c r="AB17" s="71" t="s">
        <v>278</v>
      </c>
      <c r="AC17" s="71">
        <v>10</v>
      </c>
      <c r="AD17" s="71" t="s">
        <v>271</v>
      </c>
      <c r="AE17" s="72" t="str">
        <f t="shared" si="3"/>
        <v>Selección abreviada de menor cuantía</v>
      </c>
      <c r="AF17" s="72" t="str">
        <f>IF(SUM(O17:R17)=0,"-",IF(SUM(O17:P17)&gt;=SUM(Q17:R17),"Nación","Propios"))</f>
        <v>Propios</v>
      </c>
      <c r="AG17" s="167">
        <f>AH17</f>
        <v>22500000</v>
      </c>
      <c r="AH17" s="167">
        <f t="shared" ref="AH17:AH48" si="13">IF(N17="","",N17)</f>
        <v>22500000</v>
      </c>
      <c r="AI17" s="71" t="s">
        <v>272</v>
      </c>
      <c r="AJ17" s="71" t="s">
        <v>273</v>
      </c>
      <c r="AK17" s="72" t="s">
        <v>274</v>
      </c>
      <c r="AL17" s="71" t="s">
        <v>275</v>
      </c>
      <c r="AM17" s="89" t="s">
        <v>535</v>
      </c>
      <c r="AN17" s="89">
        <v>3282888</v>
      </c>
      <c r="AO17" s="170" t="s">
        <v>536</v>
      </c>
    </row>
    <row r="18" spans="1:41" s="80" customFormat="1" ht="88.2" customHeight="1" x14ac:dyDescent="0.3">
      <c r="A18" s="83" t="s">
        <v>258</v>
      </c>
      <c r="B18" s="72" t="s">
        <v>208</v>
      </c>
      <c r="C18" s="72" t="s">
        <v>198</v>
      </c>
      <c r="D18" s="72" t="s">
        <v>225</v>
      </c>
      <c r="E18" s="73" t="str">
        <f>IFERROR(VLOOKUP(D18,DATOS!E:F,2,0),"-")</f>
        <v>PROY2</v>
      </c>
      <c r="F18" s="72" t="s">
        <v>227</v>
      </c>
      <c r="G18" s="73" t="str">
        <f>IFERROR(VLOOKUP(F18,DATOS!G:H,2,0),"-")</f>
        <v>C_3302_1603_12_20302B_3302002</v>
      </c>
      <c r="H18" s="72" t="s">
        <v>231</v>
      </c>
      <c r="I18" s="82" t="s">
        <v>284</v>
      </c>
      <c r="J18" s="72" t="s">
        <v>158</v>
      </c>
      <c r="K18" s="81">
        <v>1</v>
      </c>
      <c r="L18" s="76">
        <f t="shared" si="9"/>
        <v>39500000</v>
      </c>
      <c r="M18" s="71">
        <v>1</v>
      </c>
      <c r="N18" s="189">
        <f>IF(SUM(O18:R18)=0,"-",SUM(O18:R18))</f>
        <v>39500000</v>
      </c>
      <c r="O18" s="85">
        <v>0</v>
      </c>
      <c r="P18" s="85"/>
      <c r="Q18" s="76">
        <v>39500000</v>
      </c>
      <c r="R18" s="76">
        <v>0</v>
      </c>
      <c r="S18" s="150">
        <f>IF(D18="","-",VLOOKUP(D18,DATOS!$B$47:$C$48,2,0)-SUMIFS(P$2:P18,D$2:D18,D18))</f>
        <v>4702332655</v>
      </c>
      <c r="T18" s="150">
        <f>IF(D18="","-",VLOOKUP(D18,DATOS!$B$47:$D$48,3,0)-SUMIFS(Q$2:Q18,D$2:D18,D18))</f>
        <v>3570625200</v>
      </c>
      <c r="U18" s="150">
        <f>IF(D18="","-",VLOOKUP(D18,DATOS!$B$47:$E$48,4,0)-SUMIFS(R$2:R18,D$2:D18,D18))</f>
        <v>863885885</v>
      </c>
      <c r="V18" s="150">
        <f>IF(H18="","-",VLOOKUP(H18,DATOS!$D$52:$E$75,2,0)-SUMIFS(N$2:N18,H$2:H18,H18))</f>
        <v>96000000</v>
      </c>
      <c r="W18" s="71"/>
      <c r="X18" s="71"/>
      <c r="Y18" s="82">
        <v>80111620</v>
      </c>
      <c r="Z18" s="166" t="str">
        <f t="shared" si="12"/>
        <v>Prestación de servicios profesionales para formular documentos técnicos en desarrollo de las líneas de investigación del Observatorio.  SPA 6</v>
      </c>
      <c r="AA18" s="71" t="s">
        <v>277</v>
      </c>
      <c r="AB18" s="71" t="s">
        <v>277</v>
      </c>
      <c r="AC18" s="71">
        <v>1</v>
      </c>
      <c r="AD18" s="71" t="s">
        <v>271</v>
      </c>
      <c r="AE18" s="72" t="str">
        <f t="shared" si="3"/>
        <v>Concurso de méritos</v>
      </c>
      <c r="AF18" s="72" t="str">
        <f t="shared" si="11"/>
        <v>Propios</v>
      </c>
      <c r="AG18" s="167">
        <f t="shared" si="10"/>
        <v>39500000</v>
      </c>
      <c r="AH18" s="167">
        <f t="shared" si="13"/>
        <v>39500000</v>
      </c>
      <c r="AI18" s="71" t="s">
        <v>272</v>
      </c>
      <c r="AJ18" s="71" t="s">
        <v>273</v>
      </c>
      <c r="AK18" s="72" t="s">
        <v>274</v>
      </c>
      <c r="AL18" s="71" t="s">
        <v>275</v>
      </c>
      <c r="AM18" s="89" t="s">
        <v>535</v>
      </c>
      <c r="AN18" s="89">
        <v>3282888</v>
      </c>
      <c r="AO18" s="170" t="s">
        <v>536</v>
      </c>
    </row>
    <row r="19" spans="1:41" s="80" customFormat="1" ht="63.75" customHeight="1" x14ac:dyDescent="0.3">
      <c r="A19" s="83" t="s">
        <v>259</v>
      </c>
      <c r="B19" s="72" t="s">
        <v>208</v>
      </c>
      <c r="C19" s="72" t="s">
        <v>198</v>
      </c>
      <c r="D19" s="72" t="s">
        <v>225</v>
      </c>
      <c r="E19" s="73" t="str">
        <f>IFERROR(VLOOKUP(D19,DATOS!E:F,2,0),"-")</f>
        <v>PROY2</v>
      </c>
      <c r="F19" s="72" t="s">
        <v>227</v>
      </c>
      <c r="G19" s="73" t="str">
        <f>IFERROR(VLOOKUP(F19,DATOS!G:H,2,0),"-")</f>
        <v>C_3302_1603_12_20302B_3302002</v>
      </c>
      <c r="H19" s="72" t="s">
        <v>231</v>
      </c>
      <c r="I19" s="82" t="s">
        <v>285</v>
      </c>
      <c r="J19" s="72" t="s">
        <v>161</v>
      </c>
      <c r="K19" s="81">
        <v>3</v>
      </c>
      <c r="L19" s="76">
        <f t="shared" si="9"/>
        <v>6000000</v>
      </c>
      <c r="M19" s="71">
        <v>1</v>
      </c>
      <c r="N19" s="189">
        <f t="shared" si="1"/>
        <v>18000000</v>
      </c>
      <c r="O19" s="85">
        <v>0</v>
      </c>
      <c r="P19" s="85"/>
      <c r="Q19" s="85">
        <v>18000000</v>
      </c>
      <c r="R19" s="76">
        <v>0</v>
      </c>
      <c r="S19" s="150">
        <f>IF(D19="","-",VLOOKUP(D19,DATOS!$B$47:$C$48,2,0)-SUMIFS(P$2:P19,D$2:D19,D19))</f>
        <v>4702332655</v>
      </c>
      <c r="T19" s="150">
        <f>IF(D19="","-",VLOOKUP(D19,DATOS!$B$47:$D$48,3,0)-SUMIFS(Q$2:Q19,D$2:D19,D19))</f>
        <v>3552625200</v>
      </c>
      <c r="U19" s="150">
        <f>IF(D19="","-",VLOOKUP(D19,DATOS!$B$47:$E$48,4,0)-SUMIFS(R$2:R19,D$2:D19,D19))</f>
        <v>863885885</v>
      </c>
      <c r="V19" s="150">
        <f>IF(H19="","-",VLOOKUP(H19,DATOS!$D$52:$E$75,2,0)-SUMIFS(N$2:N19,H$2:H19,H19))</f>
        <v>78000000</v>
      </c>
      <c r="W19" s="71"/>
      <c r="X19" s="71"/>
      <c r="Y19" s="82">
        <v>80111624</v>
      </c>
      <c r="Z19" s="166" t="str">
        <f t="shared" si="12"/>
        <v>Prestación de servicios profesionales para la revisión de datos y elaboración de informes, que contribuyan con el monitoreo y evaluación de la Política de Archivos y Gestión Documental. SPA 7</v>
      </c>
      <c r="AA19" s="71" t="s">
        <v>294</v>
      </c>
      <c r="AB19" s="71" t="s">
        <v>297</v>
      </c>
      <c r="AC19" s="71">
        <v>3</v>
      </c>
      <c r="AD19" s="71" t="s">
        <v>271</v>
      </c>
      <c r="AE19" s="72" t="str">
        <f t="shared" si="3"/>
        <v>Contratación directa</v>
      </c>
      <c r="AF19" s="72" t="str">
        <f t="shared" si="11"/>
        <v>Propios</v>
      </c>
      <c r="AG19" s="167">
        <f t="shared" si="10"/>
        <v>18000000</v>
      </c>
      <c r="AH19" s="167">
        <f t="shared" si="13"/>
        <v>18000000</v>
      </c>
      <c r="AI19" s="71" t="s">
        <v>272</v>
      </c>
      <c r="AJ19" s="71" t="s">
        <v>273</v>
      </c>
      <c r="AK19" s="72" t="s">
        <v>274</v>
      </c>
      <c r="AL19" s="71" t="s">
        <v>275</v>
      </c>
      <c r="AM19" s="89" t="s">
        <v>535</v>
      </c>
      <c r="AN19" s="89">
        <v>3282888</v>
      </c>
      <c r="AO19" s="170" t="s">
        <v>536</v>
      </c>
    </row>
    <row r="20" spans="1:41" s="80" customFormat="1" ht="105" customHeight="1" x14ac:dyDescent="0.3">
      <c r="A20" s="83" t="s">
        <v>260</v>
      </c>
      <c r="B20" s="72" t="s">
        <v>208</v>
      </c>
      <c r="C20" s="72" t="s">
        <v>198</v>
      </c>
      <c r="D20" s="72" t="s">
        <v>225</v>
      </c>
      <c r="E20" s="73" t="str">
        <f>IFERROR(VLOOKUP(D20,DATOS!E:F,2,0),"-")</f>
        <v>PROY2</v>
      </c>
      <c r="F20" s="72" t="s">
        <v>227</v>
      </c>
      <c r="G20" s="73" t="str">
        <f>IFERROR(VLOOKUP(F20,DATOS!G:H,2,0),"-")</f>
        <v>C_3302_1603_12_20302B_3302002</v>
      </c>
      <c r="H20" s="72" t="s">
        <v>231</v>
      </c>
      <c r="I20" s="82" t="s">
        <v>286</v>
      </c>
      <c r="J20" s="72" t="s">
        <v>161</v>
      </c>
      <c r="K20" s="81">
        <v>8</v>
      </c>
      <c r="L20" s="76">
        <f t="shared" si="9"/>
        <v>5000000</v>
      </c>
      <c r="M20" s="71">
        <v>1</v>
      </c>
      <c r="N20" s="189">
        <f t="shared" si="1"/>
        <v>40000000</v>
      </c>
      <c r="O20" s="76">
        <v>0</v>
      </c>
      <c r="P20" s="76">
        <v>40000000</v>
      </c>
      <c r="Q20" s="85"/>
      <c r="R20" s="76">
        <v>0</v>
      </c>
      <c r="S20" s="150">
        <f>IF(D20="","-",VLOOKUP(D20,DATOS!$B$47:$C$48,2,0)-SUMIFS(P$2:P20,D$2:D20,D20))</f>
        <v>4662332655</v>
      </c>
      <c r="T20" s="150">
        <f>IF(D20="","-",VLOOKUP(D20,DATOS!$B$47:$D$48,3,0)-SUMIFS(Q$2:Q20,D$2:D20,D20))</f>
        <v>3552625200</v>
      </c>
      <c r="U20" s="150">
        <f>IF(D20="","-",VLOOKUP(D20,DATOS!$B$47:$E$48,4,0)-SUMIFS(R$2:R20,D$2:D20,D20))</f>
        <v>863885885</v>
      </c>
      <c r="V20" s="150">
        <f>IF(H20="","-",VLOOKUP(H20,DATOS!$D$52:$E$75,2,0)-SUMIFS(N$2:N20,H$2:H20,H20))</f>
        <v>38000000</v>
      </c>
      <c r="W20" s="71"/>
      <c r="X20" s="71"/>
      <c r="Y20" s="82">
        <v>80111625</v>
      </c>
      <c r="Z20" s="166" t="str">
        <f t="shared" si="12"/>
        <v>Prestación de servicios profesionales para implementar la estrategia de divulgación del observatorio, a través de la  elaboración de textos y material visual que deba ser promocionado en articulación con las áreas de comunicaciones.  SPA 8</v>
      </c>
      <c r="AA20" s="71" t="s">
        <v>278</v>
      </c>
      <c r="AB20" s="71" t="s">
        <v>277</v>
      </c>
      <c r="AC20" s="71">
        <v>8</v>
      </c>
      <c r="AD20" s="71" t="s">
        <v>271</v>
      </c>
      <c r="AE20" s="72" t="str">
        <f t="shared" si="3"/>
        <v>Contratación directa</v>
      </c>
      <c r="AF20" s="72" t="str">
        <f t="shared" si="11"/>
        <v>Nación</v>
      </c>
      <c r="AG20" s="167">
        <f t="shared" si="10"/>
        <v>40000000</v>
      </c>
      <c r="AH20" s="167">
        <f t="shared" si="13"/>
        <v>40000000</v>
      </c>
      <c r="AI20" s="71" t="s">
        <v>272</v>
      </c>
      <c r="AJ20" s="71" t="s">
        <v>273</v>
      </c>
      <c r="AK20" s="72" t="s">
        <v>274</v>
      </c>
      <c r="AL20" s="71" t="s">
        <v>275</v>
      </c>
      <c r="AM20" s="89" t="s">
        <v>535</v>
      </c>
      <c r="AN20" s="89">
        <v>3282888</v>
      </c>
      <c r="AO20" s="170" t="s">
        <v>536</v>
      </c>
    </row>
    <row r="21" spans="1:41" s="80" customFormat="1" ht="63.75" customHeight="1" x14ac:dyDescent="0.3">
      <c r="A21" s="83" t="s">
        <v>289</v>
      </c>
      <c r="B21" s="72" t="s">
        <v>208</v>
      </c>
      <c r="C21" s="72" t="s">
        <v>198</v>
      </c>
      <c r="D21" s="72" t="s">
        <v>225</v>
      </c>
      <c r="E21" s="73" t="str">
        <f>IFERROR(VLOOKUP(D21,DATOS!E:F,2,0),"-")</f>
        <v>PROY2</v>
      </c>
      <c r="F21" s="72" t="s">
        <v>227</v>
      </c>
      <c r="G21" s="73" t="str">
        <f>IFERROR(VLOOKUP(F21,DATOS!G:H,2,0),"-")</f>
        <v>C_3302_1603_12_20302B_3302002</v>
      </c>
      <c r="H21" s="72" t="s">
        <v>231</v>
      </c>
      <c r="I21" s="82" t="s">
        <v>287</v>
      </c>
      <c r="J21" s="72" t="s">
        <v>161</v>
      </c>
      <c r="K21" s="71">
        <v>6</v>
      </c>
      <c r="L21" s="76">
        <f t="shared" si="9"/>
        <v>4500000</v>
      </c>
      <c r="M21" s="71">
        <v>1</v>
      </c>
      <c r="N21" s="188">
        <f t="shared" si="1"/>
        <v>27000000</v>
      </c>
      <c r="O21" s="85"/>
      <c r="P21" s="85"/>
      <c r="Q21" s="85">
        <v>27000000</v>
      </c>
      <c r="R21" s="76"/>
      <c r="S21" s="150">
        <f>IF(D21="","-",VLOOKUP(D21,DATOS!$B$47:$C$48,2,0)-SUMIFS(P$2:P21,D$2:D21,D21))</f>
        <v>4662332655</v>
      </c>
      <c r="T21" s="150">
        <f>IF(D21="","-",VLOOKUP(D21,DATOS!$B$47:$D$48,3,0)-SUMIFS(Q$2:Q21,D$2:D21,D21))</f>
        <v>3525625200</v>
      </c>
      <c r="U21" s="150">
        <f>IF(D21="","-",VLOOKUP(D21,DATOS!$B$47:$E$48,4,0)-SUMIFS(R$2:R21,D$2:D21,D21))</f>
        <v>863885885</v>
      </c>
      <c r="V21" s="150">
        <f>IF(H21="","-",VLOOKUP(H21,DATOS!$D$52:$E$75,2,0)-SUMIFS(N$2:N21,H$2:H21,H21))</f>
        <v>11000000</v>
      </c>
      <c r="W21" s="81"/>
      <c r="X21" s="81"/>
      <c r="Y21" s="72">
        <v>80111626</v>
      </c>
      <c r="Z21" s="166" t="str">
        <f t="shared" si="12"/>
        <v>Prestación de servicios profesionales para georreferenciar datos específicos en el Observatorio del AGN.  SPA 9</v>
      </c>
      <c r="AA21" s="71" t="s">
        <v>280</v>
      </c>
      <c r="AB21" s="71" t="s">
        <v>298</v>
      </c>
      <c r="AC21" s="71">
        <v>6</v>
      </c>
      <c r="AD21" s="71" t="s">
        <v>271</v>
      </c>
      <c r="AE21" s="72" t="str">
        <f t="shared" si="3"/>
        <v>Contratación directa</v>
      </c>
      <c r="AF21" s="72" t="str">
        <f t="shared" si="11"/>
        <v>Propios</v>
      </c>
      <c r="AG21" s="167">
        <f t="shared" si="10"/>
        <v>27000000</v>
      </c>
      <c r="AH21" s="167">
        <f t="shared" si="13"/>
        <v>27000000</v>
      </c>
      <c r="AI21" s="71" t="s">
        <v>272</v>
      </c>
      <c r="AJ21" s="71" t="s">
        <v>273</v>
      </c>
      <c r="AK21" s="72" t="s">
        <v>274</v>
      </c>
      <c r="AL21" s="71" t="s">
        <v>275</v>
      </c>
      <c r="AM21" s="89" t="s">
        <v>535</v>
      </c>
      <c r="AN21" s="89">
        <v>3282888</v>
      </c>
      <c r="AO21" s="170" t="s">
        <v>536</v>
      </c>
    </row>
    <row r="22" spans="1:41" s="80" customFormat="1" ht="63.75" customHeight="1" x14ac:dyDescent="0.3">
      <c r="A22" s="83" t="s">
        <v>290</v>
      </c>
      <c r="B22" s="72" t="s">
        <v>208</v>
      </c>
      <c r="C22" s="72" t="s">
        <v>198</v>
      </c>
      <c r="D22" s="72" t="s">
        <v>225</v>
      </c>
      <c r="E22" s="73" t="str">
        <f>IFERROR(VLOOKUP(D22,DATOS!E:F,2,0),"-")</f>
        <v>PROY2</v>
      </c>
      <c r="F22" s="72" t="s">
        <v>227</v>
      </c>
      <c r="G22" s="73" t="str">
        <f>IFERROR(VLOOKUP(F22,DATOS!G:H,2,0),"-")</f>
        <v>C_3302_1603_12_20302B_3302002</v>
      </c>
      <c r="H22" s="72" t="s">
        <v>231</v>
      </c>
      <c r="I22" s="82" t="s">
        <v>288</v>
      </c>
      <c r="J22" s="72" t="s">
        <v>161</v>
      </c>
      <c r="K22" s="71">
        <v>2</v>
      </c>
      <c r="L22" s="76">
        <f t="shared" si="9"/>
        <v>5500000</v>
      </c>
      <c r="M22" s="71">
        <v>1</v>
      </c>
      <c r="N22" s="188">
        <f t="shared" si="1"/>
        <v>11000000</v>
      </c>
      <c r="O22" s="85"/>
      <c r="P22" s="85">
        <v>11000000</v>
      </c>
      <c r="Q22" s="85"/>
      <c r="R22" s="76"/>
      <c r="S22" s="150">
        <f>IF(D22="","-",VLOOKUP(D22,DATOS!$B$47:$C$48,2,0)-SUMIFS(P$2:P22,D$2:D22,D22))</f>
        <v>4651332655</v>
      </c>
      <c r="T22" s="150">
        <f>IF(D22="","-",VLOOKUP(D22,DATOS!$B$47:$D$48,3,0)-SUMIFS(Q$2:Q22,D$2:D22,D22))</f>
        <v>3525625200</v>
      </c>
      <c r="U22" s="150">
        <f>IF(D22="","-",VLOOKUP(D22,DATOS!$B$47:$E$48,4,0)-SUMIFS(R$2:R22,D$2:D22,D22))</f>
        <v>863885885</v>
      </c>
      <c r="V22" s="150">
        <f>IF(H22="","-",VLOOKUP(H22,DATOS!$D$52:$E$75,2,0)-SUMIFS(N$2:N22,H$2:H22,H22))</f>
        <v>0</v>
      </c>
      <c r="W22" s="81"/>
      <c r="X22" s="81"/>
      <c r="Y22" s="72">
        <v>80111627</v>
      </c>
      <c r="Z22" s="166" t="str">
        <f t="shared" si="12"/>
        <v>Prestación de servicios profesionales para implementar nuevas funcionalidades al Observatorio que facilite el acceso a los grupos de valor. SPA 10</v>
      </c>
      <c r="AA22" s="71" t="s">
        <v>277</v>
      </c>
      <c r="AB22" s="71" t="s">
        <v>279</v>
      </c>
      <c r="AC22" s="71">
        <v>2</v>
      </c>
      <c r="AD22" s="71" t="s">
        <v>271</v>
      </c>
      <c r="AE22" s="72" t="str">
        <f t="shared" si="3"/>
        <v>Contratación directa</v>
      </c>
      <c r="AF22" s="72" t="str">
        <f t="shared" si="11"/>
        <v>Nación</v>
      </c>
      <c r="AG22" s="167">
        <f t="shared" si="10"/>
        <v>11000000</v>
      </c>
      <c r="AH22" s="167">
        <f t="shared" si="13"/>
        <v>11000000</v>
      </c>
      <c r="AI22" s="71" t="s">
        <v>272</v>
      </c>
      <c r="AJ22" s="71" t="s">
        <v>273</v>
      </c>
      <c r="AK22" s="72" t="s">
        <v>274</v>
      </c>
      <c r="AL22" s="71" t="s">
        <v>275</v>
      </c>
      <c r="AM22" s="89" t="s">
        <v>535</v>
      </c>
      <c r="AN22" s="89">
        <v>3282888</v>
      </c>
      <c r="AO22" s="170" t="s">
        <v>536</v>
      </c>
    </row>
    <row r="23" spans="1:41" s="80" customFormat="1" ht="63.75" customHeight="1" x14ac:dyDescent="0.3">
      <c r="A23" s="71" t="s">
        <v>299</v>
      </c>
      <c r="B23" s="72" t="s">
        <v>213</v>
      </c>
      <c r="C23" s="72" t="s">
        <v>198</v>
      </c>
      <c r="D23" s="72" t="s">
        <v>225</v>
      </c>
      <c r="E23" s="73" t="str">
        <f>IFERROR(VLOOKUP(D23,DATOS!E:F,2,0),"-")</f>
        <v>PROY2</v>
      </c>
      <c r="F23" s="72" t="s">
        <v>229</v>
      </c>
      <c r="G23" s="73" t="str">
        <f>IFERROR(VLOOKUP(F23,DATOS!G:H,2,0),"-")</f>
        <v>C_3302_1603_12_20302B_3302076</v>
      </c>
      <c r="H23" s="72" t="s">
        <v>239</v>
      </c>
      <c r="I23" s="72" t="s">
        <v>306</v>
      </c>
      <c r="J23" s="72" t="s">
        <v>158</v>
      </c>
      <c r="K23" s="71">
        <v>4</v>
      </c>
      <c r="L23" s="184">
        <f t="shared" si="9"/>
        <v>23911096.5</v>
      </c>
      <c r="M23" s="168">
        <v>1</v>
      </c>
      <c r="N23" s="190">
        <f t="shared" si="1"/>
        <v>95644386</v>
      </c>
      <c r="O23" s="85"/>
      <c r="P23" s="85"/>
      <c r="Q23" s="184">
        <f>96644386-1000000</f>
        <v>95644386</v>
      </c>
      <c r="R23" s="184"/>
      <c r="S23" s="150">
        <f>IF(D23="","-",VLOOKUP(D23,DATOS!$B$47:$C$48,2,0)-SUMIFS(P$2:P23,D$2:D23,D23))</f>
        <v>4651332655</v>
      </c>
      <c r="T23" s="150">
        <f>IF(D23="","-",VLOOKUP(D23,DATOS!$B$47:$D$48,3,0)-SUMIFS(Q$2:Q23,D$2:D23,D23))</f>
        <v>3429980814</v>
      </c>
      <c r="U23" s="150">
        <f>IF(D23="","-",VLOOKUP(D23,DATOS!$B$47:$E$48,4,0)-SUMIFS(R$2:R23,D$2:D23,D23))</f>
        <v>863885885</v>
      </c>
      <c r="V23" s="150">
        <f>IF(H23="","-",VLOOKUP(H23,DATOS!$D$52:$E$75,2,0)-SUMIFS(N$2:N23,H$2:H23,H23))</f>
        <v>118000000</v>
      </c>
      <c r="W23" s="81"/>
      <c r="X23" s="81"/>
      <c r="Y23" s="185" t="s">
        <v>307</v>
      </c>
      <c r="Z23" s="166" t="str">
        <f t="shared" si="12"/>
        <v>Contratar el servicio de consultoria para definir el sistema de preservación digital dell AGN - STI1</v>
      </c>
      <c r="AA23" s="71" t="s">
        <v>278</v>
      </c>
      <c r="AB23" s="71" t="s">
        <v>278</v>
      </c>
      <c r="AC23" s="71">
        <v>4</v>
      </c>
      <c r="AD23" s="71" t="s">
        <v>271</v>
      </c>
      <c r="AE23" s="72" t="str">
        <f t="shared" si="3"/>
        <v>Concurso de méritos</v>
      </c>
      <c r="AF23" s="72" t="str">
        <f t="shared" si="11"/>
        <v>Propios</v>
      </c>
      <c r="AG23" s="167">
        <f t="shared" ref="AG23:AG43" si="14">AH23</f>
        <v>95644386</v>
      </c>
      <c r="AH23" s="167">
        <f t="shared" si="13"/>
        <v>95644386</v>
      </c>
      <c r="AI23" s="71" t="s">
        <v>272</v>
      </c>
      <c r="AJ23" s="71" t="s">
        <v>273</v>
      </c>
      <c r="AK23" s="72" t="s">
        <v>274</v>
      </c>
      <c r="AL23" s="71" t="s">
        <v>275</v>
      </c>
      <c r="AM23" s="72" t="s">
        <v>308</v>
      </c>
      <c r="AN23" s="89">
        <v>3282888</v>
      </c>
      <c r="AO23" s="180" t="s">
        <v>309</v>
      </c>
    </row>
    <row r="24" spans="1:41" s="80" customFormat="1" ht="63.75" customHeight="1" x14ac:dyDescent="0.3">
      <c r="A24" s="71" t="s">
        <v>300</v>
      </c>
      <c r="B24" s="72" t="s">
        <v>213</v>
      </c>
      <c r="C24" s="72" t="s">
        <v>198</v>
      </c>
      <c r="D24" s="72" t="s">
        <v>225</v>
      </c>
      <c r="E24" s="73" t="str">
        <f>IFERROR(VLOOKUP(D24,DATOS!E:F,2,0),"-")</f>
        <v>PROY2</v>
      </c>
      <c r="F24" s="72" t="s">
        <v>229</v>
      </c>
      <c r="G24" s="73" t="str">
        <f>IFERROR(VLOOKUP(F24,DATOS!G:H,2,0),"-")</f>
        <v>C_3302_1603_12_20302B_3302076</v>
      </c>
      <c r="H24" s="72" t="s">
        <v>239</v>
      </c>
      <c r="I24" s="82" t="s">
        <v>785</v>
      </c>
      <c r="J24" s="72" t="s">
        <v>161</v>
      </c>
      <c r="K24" s="71">
        <v>6</v>
      </c>
      <c r="L24" s="184">
        <f t="shared" si="9"/>
        <v>6100000</v>
      </c>
      <c r="M24" s="71">
        <v>1</v>
      </c>
      <c r="N24" s="190">
        <f t="shared" si="1"/>
        <v>36600000</v>
      </c>
      <c r="O24" s="184"/>
      <c r="P24" s="184">
        <f>37217489-1217489+600000</f>
        <v>36600000</v>
      </c>
      <c r="Q24" s="85"/>
      <c r="R24" s="184"/>
      <c r="S24" s="150">
        <f>IF(D24="","-",VLOOKUP(D24,DATOS!$B$47:$C$48,2,0)-SUMIFS(P$2:P24,D$2:D24,D24))</f>
        <v>4614732655</v>
      </c>
      <c r="T24" s="150">
        <f>IF(D24="","-",VLOOKUP(D24,DATOS!$B$47:$D$48,3,0)-SUMIFS(Q$2:Q24,D$2:D24,D24))</f>
        <v>3429980814</v>
      </c>
      <c r="U24" s="150">
        <f>IF(D24="","-",VLOOKUP(D24,DATOS!$B$47:$E$48,4,0)-SUMIFS(R$2:R24,D$2:D24,D24))</f>
        <v>863885885</v>
      </c>
      <c r="V24" s="150">
        <f>IF(H24="","-",VLOOKUP(H24,DATOS!$D$52:$E$75,2,0)-SUMIFS(N$2:N24,H$2:H24,H24))</f>
        <v>81400000</v>
      </c>
      <c r="W24" s="81"/>
      <c r="X24" s="81"/>
      <c r="Y24" s="185" t="s">
        <v>307</v>
      </c>
      <c r="Z24" s="166" t="str">
        <f t="shared" si="12"/>
        <v>Prestar el servicio profesional para la generar acciones de programación acorde con las necesidades del Archivo General de la Nación  STI2</v>
      </c>
      <c r="AA24" s="71" t="s">
        <v>292</v>
      </c>
      <c r="AB24" s="71" t="s">
        <v>278</v>
      </c>
      <c r="AC24" s="71">
        <v>6</v>
      </c>
      <c r="AD24" s="71" t="s">
        <v>271</v>
      </c>
      <c r="AE24" s="72" t="str">
        <f t="shared" si="3"/>
        <v>Contratación directa</v>
      </c>
      <c r="AF24" s="72" t="str">
        <f t="shared" si="11"/>
        <v>Nación</v>
      </c>
      <c r="AG24" s="167">
        <f t="shared" si="14"/>
        <v>36600000</v>
      </c>
      <c r="AH24" s="167">
        <f t="shared" si="13"/>
        <v>36600000</v>
      </c>
      <c r="AI24" s="71" t="s">
        <v>272</v>
      </c>
      <c r="AJ24" s="71" t="s">
        <v>273</v>
      </c>
      <c r="AK24" s="72" t="s">
        <v>274</v>
      </c>
      <c r="AL24" s="71" t="s">
        <v>275</v>
      </c>
      <c r="AM24" s="72" t="s">
        <v>308</v>
      </c>
      <c r="AN24" s="89">
        <v>3282888</v>
      </c>
      <c r="AO24" s="180" t="s">
        <v>309</v>
      </c>
    </row>
    <row r="25" spans="1:41" s="80" customFormat="1" ht="63.75" customHeight="1" x14ac:dyDescent="0.3">
      <c r="A25" s="71" t="s">
        <v>301</v>
      </c>
      <c r="B25" s="72" t="s">
        <v>213</v>
      </c>
      <c r="C25" s="72" t="s">
        <v>198</v>
      </c>
      <c r="D25" s="72" t="s">
        <v>225</v>
      </c>
      <c r="E25" s="73" t="str">
        <f>IFERROR(VLOOKUP(D25,DATOS!E:F,2,0),"-")</f>
        <v>PROY2</v>
      </c>
      <c r="F25" s="72" t="s">
        <v>229</v>
      </c>
      <c r="G25" s="73" t="str">
        <f>IFERROR(VLOOKUP(F25,DATOS!G:H,2,0),"-")</f>
        <v>C_3302_1603_12_20302B_3302076</v>
      </c>
      <c r="H25" s="72" t="s">
        <v>239</v>
      </c>
      <c r="I25" s="82" t="s">
        <v>786</v>
      </c>
      <c r="J25" s="72" t="s">
        <v>161</v>
      </c>
      <c r="K25" s="71">
        <v>4</v>
      </c>
      <c r="L25" s="184">
        <f t="shared" ref="L25" si="15">(N25/M25)/K25</f>
        <v>6100000</v>
      </c>
      <c r="M25" s="71">
        <v>1</v>
      </c>
      <c r="N25" s="190">
        <f t="shared" ref="N25" si="16">IF(SUM(O25:R25)=0,"-",SUM(O25:R25))</f>
        <v>24400000</v>
      </c>
      <c r="O25" s="184"/>
      <c r="P25" s="184">
        <v>617489</v>
      </c>
      <c r="Q25" s="85">
        <v>1000000</v>
      </c>
      <c r="R25" s="184">
        <v>22782511</v>
      </c>
      <c r="S25" s="150">
        <f>IF(D25="","-",VLOOKUP(D25,DATOS!$B$47:$C$48,2,0)-SUMIFS(P$2:P25,D$2:D25,D25))</f>
        <v>4614115166</v>
      </c>
      <c r="T25" s="150">
        <f>IF(D25="","-",VLOOKUP(D25,DATOS!$B$47:$D$48,3,0)-SUMIFS(Q$2:Q25,D$2:D25,D25))</f>
        <v>3428980814</v>
      </c>
      <c r="U25" s="150">
        <f>IF(D25="","-",VLOOKUP(D25,DATOS!$B$47:$E$48,4,0)-SUMIFS(R$2:R25,D$2:D25,D25))</f>
        <v>841103374</v>
      </c>
      <c r="V25" s="150">
        <f>IF(H25="","-",VLOOKUP(H25,DATOS!$D$52:$E$75,2,0)-SUMIFS(N$2:N25,H$2:H25,H25))</f>
        <v>57000000</v>
      </c>
      <c r="W25" s="81"/>
      <c r="X25" s="81"/>
      <c r="Y25" s="185" t="s">
        <v>307</v>
      </c>
      <c r="Z25" s="166" t="str">
        <f t="shared" si="12"/>
        <v>Prestar el servicio profesional para la generar acciones de programación acorde con las necesidades del Archivo General de la Nación  STI3</v>
      </c>
      <c r="AA25" s="71" t="s">
        <v>292</v>
      </c>
      <c r="AB25" s="71" t="s">
        <v>278</v>
      </c>
      <c r="AC25" s="71">
        <v>4</v>
      </c>
      <c r="AD25" s="71" t="s">
        <v>271</v>
      </c>
      <c r="AE25" s="72" t="str">
        <f t="shared" si="3"/>
        <v>Contratación directa</v>
      </c>
      <c r="AF25" s="72" t="str">
        <f t="shared" ref="AF25" si="17">IF(SUM(O25:R25)=0,"-",IF(SUM(O25:P25)&gt;=SUM(Q25:R25),"Nación","Propios"))</f>
        <v>Propios</v>
      </c>
      <c r="AG25" s="167">
        <f t="shared" ref="AG25" si="18">AH25</f>
        <v>24400000</v>
      </c>
      <c r="AH25" s="167">
        <f t="shared" si="13"/>
        <v>24400000</v>
      </c>
      <c r="AI25" s="71" t="s">
        <v>272</v>
      </c>
      <c r="AJ25" s="71" t="s">
        <v>273</v>
      </c>
      <c r="AK25" s="72" t="s">
        <v>274</v>
      </c>
      <c r="AL25" s="71" t="s">
        <v>275</v>
      </c>
      <c r="AM25" s="72" t="s">
        <v>308</v>
      </c>
      <c r="AN25" s="89">
        <v>3282888</v>
      </c>
      <c r="AO25" s="180" t="s">
        <v>309</v>
      </c>
    </row>
    <row r="26" spans="1:41" s="80" customFormat="1" ht="63.75" customHeight="1" x14ac:dyDescent="0.3">
      <c r="A26" s="71" t="s">
        <v>302</v>
      </c>
      <c r="B26" s="72" t="s">
        <v>213</v>
      </c>
      <c r="C26" s="72" t="s">
        <v>198</v>
      </c>
      <c r="D26" s="72" t="s">
        <v>225</v>
      </c>
      <c r="E26" s="73" t="str">
        <f>IFERROR(VLOOKUP(D26,DATOS!E:F,2,0),"-")</f>
        <v>PROY2</v>
      </c>
      <c r="F26" s="72" t="s">
        <v>229</v>
      </c>
      <c r="G26" s="73" t="str">
        <f>IFERROR(VLOOKUP(F26,DATOS!G:H,2,0),"-")</f>
        <v>C_3302_1603_12_20302B_3302076</v>
      </c>
      <c r="H26" s="72" t="s">
        <v>239</v>
      </c>
      <c r="I26" s="82" t="s">
        <v>787</v>
      </c>
      <c r="J26" s="72" t="s">
        <v>161</v>
      </c>
      <c r="K26" s="71">
        <v>6</v>
      </c>
      <c r="L26" s="184">
        <f t="shared" si="9"/>
        <v>5000000</v>
      </c>
      <c r="M26" s="71">
        <v>1</v>
      </c>
      <c r="N26" s="190">
        <f t="shared" si="1"/>
        <v>30000000</v>
      </c>
      <c r="O26" s="184"/>
      <c r="P26" s="184"/>
      <c r="Q26" s="85">
        <v>30000000</v>
      </c>
      <c r="R26" s="184"/>
      <c r="S26" s="150">
        <f>IF(D26="","-",VLOOKUP(D26,DATOS!$B$47:$C$48,2,0)-SUMIFS(P$2:P26,D$2:D26,D26))</f>
        <v>4614115166</v>
      </c>
      <c r="T26" s="150">
        <f>IF(D26="","-",VLOOKUP(D26,DATOS!$B$47:$D$48,3,0)-SUMIFS(Q$2:Q26,D$2:D26,D26))</f>
        <v>3398980814</v>
      </c>
      <c r="U26" s="150">
        <f>IF(D26="","-",VLOOKUP(D26,DATOS!$B$47:$E$48,4,0)-SUMIFS(R$2:R26,D$2:D26,D26))</f>
        <v>841103374</v>
      </c>
      <c r="V26" s="150">
        <f>IF(H26="","-",VLOOKUP(H26,DATOS!$D$52:$E$75,2,0)-SUMIFS(N$2:N26,H$2:H26,H26))</f>
        <v>27000000</v>
      </c>
      <c r="W26" s="81"/>
      <c r="X26" s="81"/>
      <c r="Y26" s="185" t="s">
        <v>307</v>
      </c>
      <c r="Z26" s="166" t="str">
        <f t="shared" si="12"/>
        <v>Prestación de servicios para la  elaboracion de documentos asociados a la gestión documental electrónica
STI4</v>
      </c>
      <c r="AA26" s="71" t="s">
        <v>278</v>
      </c>
      <c r="AB26" s="71" t="s">
        <v>278</v>
      </c>
      <c r="AC26" s="71">
        <v>6</v>
      </c>
      <c r="AD26" s="71" t="s">
        <v>271</v>
      </c>
      <c r="AE26" s="72" t="str">
        <f t="shared" si="3"/>
        <v>Contratación directa</v>
      </c>
      <c r="AF26" s="72" t="str">
        <f t="shared" si="11"/>
        <v>Propios</v>
      </c>
      <c r="AG26" s="167">
        <f t="shared" si="14"/>
        <v>30000000</v>
      </c>
      <c r="AH26" s="167">
        <f t="shared" si="13"/>
        <v>30000000</v>
      </c>
      <c r="AI26" s="71" t="s">
        <v>272</v>
      </c>
      <c r="AJ26" s="71" t="s">
        <v>273</v>
      </c>
      <c r="AK26" s="72" t="s">
        <v>274</v>
      </c>
      <c r="AL26" s="71" t="s">
        <v>275</v>
      </c>
      <c r="AM26" s="72" t="s">
        <v>308</v>
      </c>
      <c r="AN26" s="89">
        <v>3282888</v>
      </c>
      <c r="AO26" s="180" t="s">
        <v>309</v>
      </c>
    </row>
    <row r="27" spans="1:41" s="88" customFormat="1" ht="97.5" customHeight="1" x14ac:dyDescent="0.3">
      <c r="A27" s="71" t="s">
        <v>303</v>
      </c>
      <c r="B27" s="72" t="s">
        <v>213</v>
      </c>
      <c r="C27" s="72" t="s">
        <v>198</v>
      </c>
      <c r="D27" s="72" t="s">
        <v>225</v>
      </c>
      <c r="E27" s="73" t="str">
        <f>IFERROR(VLOOKUP(D27,DATOS!E:F,2,0),"-")</f>
        <v>PROY2</v>
      </c>
      <c r="F27" s="72" t="s">
        <v>229</v>
      </c>
      <c r="G27" s="73" t="str">
        <f>IFERROR(VLOOKUP(F27,DATOS!G:H,2,0),"-")</f>
        <v>C_3302_1603_12_20302B_3302076</v>
      </c>
      <c r="H27" s="72" t="s">
        <v>238</v>
      </c>
      <c r="I27" s="72" t="s">
        <v>788</v>
      </c>
      <c r="J27" s="72" t="s">
        <v>161</v>
      </c>
      <c r="K27" s="72">
        <v>6</v>
      </c>
      <c r="L27" s="184">
        <f t="shared" si="9"/>
        <v>5500000</v>
      </c>
      <c r="M27" s="71">
        <v>1</v>
      </c>
      <c r="N27" s="190">
        <f t="shared" si="1"/>
        <v>33000000</v>
      </c>
      <c r="O27" s="186"/>
      <c r="P27" s="186"/>
      <c r="Q27" s="186"/>
      <c r="R27" s="186">
        <v>33000000</v>
      </c>
      <c r="S27" s="150">
        <f>IF(D27="","-",VLOOKUP(D27,DATOS!$B$47:$C$48,2,0)-SUMIFS(P$2:P27,D$2:D27,D27))</f>
        <v>4614115166</v>
      </c>
      <c r="T27" s="150">
        <f>IF(D27="","-",VLOOKUP(D27,DATOS!$B$47:$D$48,3,0)-SUMIFS(Q$2:Q27,D$2:D27,D27))</f>
        <v>3398980814</v>
      </c>
      <c r="U27" s="150">
        <f>IF(D27="","-",VLOOKUP(D27,DATOS!$B$47:$E$48,4,0)-SUMIFS(R$2:R27,D$2:D27,D27))</f>
        <v>808103374</v>
      </c>
      <c r="V27" s="150">
        <f>IF(H27="","-",VLOOKUP(H27,DATOS!$D$52:$E$75,2,0)-SUMIFS(N$2:N27,H$2:H27,H27))</f>
        <v>162000000</v>
      </c>
      <c r="W27" s="72"/>
      <c r="X27" s="72"/>
      <c r="Y27" s="185" t="s">
        <v>307</v>
      </c>
      <c r="Z27" s="166" t="str">
        <f t="shared" si="12"/>
        <v>Prestar el servicio profesional para la realización de productos multimedia  STI5</v>
      </c>
      <c r="AA27" s="71" t="s">
        <v>292</v>
      </c>
      <c r="AB27" s="71" t="s">
        <v>292</v>
      </c>
      <c r="AC27" s="71">
        <v>6</v>
      </c>
      <c r="AD27" s="71" t="s">
        <v>271</v>
      </c>
      <c r="AE27" s="72" t="str">
        <f t="shared" si="3"/>
        <v>Contratación directa</v>
      </c>
      <c r="AF27" s="72" t="str">
        <f t="shared" si="11"/>
        <v>Propios</v>
      </c>
      <c r="AG27" s="167">
        <f t="shared" si="14"/>
        <v>33000000</v>
      </c>
      <c r="AH27" s="167">
        <f t="shared" si="13"/>
        <v>33000000</v>
      </c>
      <c r="AI27" s="71" t="s">
        <v>272</v>
      </c>
      <c r="AJ27" s="71" t="s">
        <v>273</v>
      </c>
      <c r="AK27" s="72" t="s">
        <v>274</v>
      </c>
      <c r="AL27" s="71" t="s">
        <v>275</v>
      </c>
      <c r="AM27" s="72" t="s">
        <v>308</v>
      </c>
      <c r="AN27" s="89">
        <v>3282888</v>
      </c>
      <c r="AO27" s="180" t="s">
        <v>309</v>
      </c>
    </row>
    <row r="28" spans="1:41" s="88" customFormat="1" ht="91.5" customHeight="1" x14ac:dyDescent="0.3">
      <c r="A28" s="71" t="s">
        <v>304</v>
      </c>
      <c r="B28" s="72" t="s">
        <v>213</v>
      </c>
      <c r="C28" s="72" t="s">
        <v>198</v>
      </c>
      <c r="D28" s="72" t="s">
        <v>225</v>
      </c>
      <c r="E28" s="73" t="str">
        <f>IFERROR(VLOOKUP(D28,DATOS!E:F,2,0),"-")</f>
        <v>PROY2</v>
      </c>
      <c r="F28" s="72" t="s">
        <v>229</v>
      </c>
      <c r="G28" s="73" t="str">
        <f>IFERROR(VLOOKUP(F28,DATOS!G:H,2,0),"-")</f>
        <v>C_3302_1603_12_20302B_3302076</v>
      </c>
      <c r="H28" s="72" t="s">
        <v>238</v>
      </c>
      <c r="I28" s="72" t="s">
        <v>789</v>
      </c>
      <c r="J28" s="72" t="s">
        <v>161</v>
      </c>
      <c r="K28" s="72">
        <v>4</v>
      </c>
      <c r="L28" s="184">
        <f t="shared" si="9"/>
        <v>4500000</v>
      </c>
      <c r="M28" s="71">
        <v>1</v>
      </c>
      <c r="N28" s="190">
        <f t="shared" si="1"/>
        <v>18000000</v>
      </c>
      <c r="O28" s="186"/>
      <c r="P28" s="186"/>
      <c r="Q28" s="186"/>
      <c r="R28" s="186">
        <v>18000000</v>
      </c>
      <c r="S28" s="150">
        <f>IF(D28="","-",VLOOKUP(D28,DATOS!$B$47:$C$48,2,0)-SUMIFS(P$2:P28,D$2:D28,D28))</f>
        <v>4614115166</v>
      </c>
      <c r="T28" s="150">
        <f>IF(D28="","-",VLOOKUP(D28,DATOS!$B$47:$D$48,3,0)-SUMIFS(Q$2:Q28,D$2:D28,D28))</f>
        <v>3398980814</v>
      </c>
      <c r="U28" s="150">
        <f>IF(D28="","-",VLOOKUP(D28,DATOS!$B$47:$E$48,4,0)-SUMIFS(R$2:R28,D$2:D28,D28))</f>
        <v>790103374</v>
      </c>
      <c r="V28" s="150">
        <f>IF(H28="","-",VLOOKUP(H28,DATOS!$D$52:$E$75,2,0)-SUMIFS(N$2:N28,H$2:H28,H28))</f>
        <v>144000000</v>
      </c>
      <c r="W28" s="72"/>
      <c r="X28" s="72"/>
      <c r="Y28" s="185" t="s">
        <v>307</v>
      </c>
      <c r="Z28" s="166" t="str">
        <f t="shared" si="12"/>
        <v>Prestar el servicio profesional para la realización de la estrategia transmedia  del AGN STI6</v>
      </c>
      <c r="AA28" s="71" t="s">
        <v>278</v>
      </c>
      <c r="AB28" s="71" t="s">
        <v>278</v>
      </c>
      <c r="AC28" s="71">
        <v>4</v>
      </c>
      <c r="AD28" s="71" t="s">
        <v>271</v>
      </c>
      <c r="AE28" s="72" t="str">
        <f t="shared" si="3"/>
        <v>Contratación directa</v>
      </c>
      <c r="AF28" s="72" t="str">
        <f t="shared" si="11"/>
        <v>Propios</v>
      </c>
      <c r="AG28" s="167">
        <f t="shared" si="14"/>
        <v>18000000</v>
      </c>
      <c r="AH28" s="167">
        <f t="shared" si="13"/>
        <v>18000000</v>
      </c>
      <c r="AI28" s="71" t="s">
        <v>272</v>
      </c>
      <c r="AJ28" s="71" t="s">
        <v>273</v>
      </c>
      <c r="AK28" s="72" t="s">
        <v>274</v>
      </c>
      <c r="AL28" s="71" t="s">
        <v>275</v>
      </c>
      <c r="AM28" s="72" t="s">
        <v>308</v>
      </c>
      <c r="AN28" s="89">
        <v>3282888</v>
      </c>
      <c r="AO28" s="180" t="s">
        <v>309</v>
      </c>
    </row>
    <row r="29" spans="1:41" s="88" customFormat="1" ht="97.5" customHeight="1" x14ac:dyDescent="0.3">
      <c r="A29" s="71" t="s">
        <v>305</v>
      </c>
      <c r="B29" s="72" t="s">
        <v>213</v>
      </c>
      <c r="C29" s="72" t="s">
        <v>198</v>
      </c>
      <c r="D29" s="72" t="s">
        <v>225</v>
      </c>
      <c r="E29" s="73" t="str">
        <f>IFERROR(VLOOKUP(D29,DATOS!E:F,2,0),"-")</f>
        <v>PROY2</v>
      </c>
      <c r="F29" s="72" t="s">
        <v>229</v>
      </c>
      <c r="G29" s="73" t="str">
        <f>IFERROR(VLOOKUP(F29,DATOS!G:H,2,0),"-")</f>
        <v>C_3302_1603_12_20302B_3302076</v>
      </c>
      <c r="H29" s="72" t="s">
        <v>238</v>
      </c>
      <c r="I29" s="72" t="s">
        <v>790</v>
      </c>
      <c r="J29" s="72" t="s">
        <v>161</v>
      </c>
      <c r="K29" s="72">
        <v>4</v>
      </c>
      <c r="L29" s="184">
        <f t="shared" si="9"/>
        <v>4500000</v>
      </c>
      <c r="M29" s="71">
        <v>1</v>
      </c>
      <c r="N29" s="190">
        <f t="shared" si="1"/>
        <v>18000000</v>
      </c>
      <c r="O29" s="186"/>
      <c r="P29" s="186"/>
      <c r="Q29" s="186"/>
      <c r="R29" s="186">
        <v>18000000</v>
      </c>
      <c r="S29" s="150">
        <f>IF(D29="","-",VLOOKUP(D29,DATOS!$B$47:$C$48,2,0)-SUMIFS(P$2:P29,D$2:D29,D29))</f>
        <v>4614115166</v>
      </c>
      <c r="T29" s="150">
        <f>IF(D29="","-",VLOOKUP(D29,DATOS!$B$47:$D$48,3,0)-SUMIFS(Q$2:Q29,D$2:D29,D29))</f>
        <v>3398980814</v>
      </c>
      <c r="U29" s="150">
        <f>IF(D29="","-",VLOOKUP(D29,DATOS!$B$47:$E$48,4,0)-SUMIFS(R$2:R29,D$2:D29,D29))</f>
        <v>772103374</v>
      </c>
      <c r="V29" s="150">
        <f>IF(H29="","-",VLOOKUP(H29,DATOS!$D$52:$E$75,2,0)-SUMIFS(N$2:N29,H$2:H29,H29))</f>
        <v>126000000</v>
      </c>
      <c r="W29" s="72"/>
      <c r="X29" s="72"/>
      <c r="Y29" s="185" t="s">
        <v>307</v>
      </c>
      <c r="Z29" s="166" t="str">
        <f t="shared" si="12"/>
        <v>Prestar el servicio profesional para realizar una propuesta para visibilizar el patrimono documental en el territorio nacional   STI7</v>
      </c>
      <c r="AA29" s="71" t="s">
        <v>278</v>
      </c>
      <c r="AB29" s="71" t="s">
        <v>278</v>
      </c>
      <c r="AC29" s="71">
        <v>4</v>
      </c>
      <c r="AD29" s="71" t="s">
        <v>271</v>
      </c>
      <c r="AE29" s="72" t="str">
        <f t="shared" si="3"/>
        <v>Contratación directa</v>
      </c>
      <c r="AF29" s="72" t="str">
        <f t="shared" si="11"/>
        <v>Propios</v>
      </c>
      <c r="AG29" s="167">
        <f t="shared" si="14"/>
        <v>18000000</v>
      </c>
      <c r="AH29" s="167">
        <f t="shared" si="13"/>
        <v>18000000</v>
      </c>
      <c r="AI29" s="71" t="s">
        <v>272</v>
      </c>
      <c r="AJ29" s="71" t="s">
        <v>273</v>
      </c>
      <c r="AK29" s="72" t="s">
        <v>274</v>
      </c>
      <c r="AL29" s="71" t="s">
        <v>275</v>
      </c>
      <c r="AM29" s="72" t="s">
        <v>308</v>
      </c>
      <c r="AN29" s="89">
        <v>3282888</v>
      </c>
      <c r="AO29" s="180" t="s">
        <v>309</v>
      </c>
    </row>
    <row r="30" spans="1:41" s="88" customFormat="1" ht="104.25" customHeight="1" x14ac:dyDescent="0.3">
      <c r="A30" s="71" t="s">
        <v>531</v>
      </c>
      <c r="B30" s="72" t="s">
        <v>213</v>
      </c>
      <c r="C30" s="72" t="s">
        <v>198</v>
      </c>
      <c r="D30" s="72" t="s">
        <v>225</v>
      </c>
      <c r="E30" s="73" t="str">
        <f>IFERROR(VLOOKUP(D30,DATOS!E:F,2,0),"-")</f>
        <v>PROY2</v>
      </c>
      <c r="F30" s="72" t="s">
        <v>229</v>
      </c>
      <c r="G30" s="73" t="str">
        <f>IFERROR(VLOOKUP(F30,DATOS!G:H,2,0),"-")</f>
        <v>C_3302_1603_12_20302B_3302076</v>
      </c>
      <c r="H30" s="72" t="s">
        <v>238</v>
      </c>
      <c r="I30" s="72" t="s">
        <v>791</v>
      </c>
      <c r="J30" s="72" t="s">
        <v>161</v>
      </c>
      <c r="K30" s="72">
        <v>4</v>
      </c>
      <c r="L30" s="184">
        <f t="shared" si="9"/>
        <v>4500000</v>
      </c>
      <c r="M30" s="71">
        <v>1</v>
      </c>
      <c r="N30" s="190">
        <f t="shared" si="1"/>
        <v>18000000</v>
      </c>
      <c r="O30" s="186"/>
      <c r="P30" s="186"/>
      <c r="Q30" s="186"/>
      <c r="R30" s="186">
        <v>18000000</v>
      </c>
      <c r="S30" s="150">
        <f>IF(D30="","-",VLOOKUP(D30,DATOS!$B$47:$C$48,2,0)-SUMIFS(P$2:P30,D$2:D30,D30))</f>
        <v>4614115166</v>
      </c>
      <c r="T30" s="150">
        <f>IF(D30="","-",VLOOKUP(D30,DATOS!$B$47:$D$48,3,0)-SUMIFS(Q$2:Q30,D$2:D30,D30))</f>
        <v>3398980814</v>
      </c>
      <c r="U30" s="150">
        <f>IF(D30="","-",VLOOKUP(D30,DATOS!$B$47:$E$48,4,0)-SUMIFS(R$2:R30,D$2:D30,D30))</f>
        <v>754103374</v>
      </c>
      <c r="V30" s="150">
        <f>IF(H30="","-",VLOOKUP(H30,DATOS!$D$52:$E$75,2,0)-SUMIFS(N$2:N30,H$2:H30,H30))</f>
        <v>108000000</v>
      </c>
      <c r="W30" s="72"/>
      <c r="X30" s="72"/>
      <c r="Y30" s="185" t="s">
        <v>307</v>
      </c>
      <c r="Z30" s="166" t="str">
        <f t="shared" si="12"/>
        <v>Prestar el servicio profesional para el desarrollo de herramientas interactivas con el fin de divulgar el patrimono documental  STI8</v>
      </c>
      <c r="AA30" s="71" t="s">
        <v>278</v>
      </c>
      <c r="AB30" s="71" t="s">
        <v>278</v>
      </c>
      <c r="AC30" s="71">
        <v>4</v>
      </c>
      <c r="AD30" s="71" t="s">
        <v>271</v>
      </c>
      <c r="AE30" s="72" t="str">
        <f t="shared" si="3"/>
        <v>Contratación directa</v>
      </c>
      <c r="AF30" s="72" t="str">
        <f t="shared" si="11"/>
        <v>Propios</v>
      </c>
      <c r="AG30" s="167">
        <f t="shared" si="14"/>
        <v>18000000</v>
      </c>
      <c r="AH30" s="167">
        <f t="shared" si="13"/>
        <v>18000000</v>
      </c>
      <c r="AI30" s="71" t="s">
        <v>272</v>
      </c>
      <c r="AJ30" s="71" t="s">
        <v>273</v>
      </c>
      <c r="AK30" s="72" t="s">
        <v>274</v>
      </c>
      <c r="AL30" s="71" t="s">
        <v>275</v>
      </c>
      <c r="AM30" s="72" t="s">
        <v>308</v>
      </c>
      <c r="AN30" s="89">
        <v>3282888</v>
      </c>
      <c r="AO30" s="180" t="s">
        <v>309</v>
      </c>
    </row>
    <row r="31" spans="1:41" s="88" customFormat="1" ht="105.75" customHeight="1" x14ac:dyDescent="0.3">
      <c r="A31" s="71" t="s">
        <v>532</v>
      </c>
      <c r="B31" s="72" t="s">
        <v>213</v>
      </c>
      <c r="C31" s="72" t="s">
        <v>198</v>
      </c>
      <c r="D31" s="72" t="s">
        <v>225</v>
      </c>
      <c r="E31" s="73" t="str">
        <f>IFERROR(VLOOKUP(D31,DATOS!E:F,2,0),"-")</f>
        <v>PROY2</v>
      </c>
      <c r="F31" s="72" t="s">
        <v>229</v>
      </c>
      <c r="G31" s="73" t="str">
        <f>IFERROR(VLOOKUP(F31,DATOS!G:H,2,0),"-")</f>
        <v>C_3302_1603_12_20302B_3302076</v>
      </c>
      <c r="H31" s="72" t="s">
        <v>238</v>
      </c>
      <c r="I31" s="72" t="s">
        <v>792</v>
      </c>
      <c r="J31" s="72" t="s">
        <v>161</v>
      </c>
      <c r="K31" s="72">
        <v>2</v>
      </c>
      <c r="L31" s="184">
        <f t="shared" si="9"/>
        <v>3000000</v>
      </c>
      <c r="M31" s="71">
        <v>1</v>
      </c>
      <c r="N31" s="190">
        <f t="shared" si="1"/>
        <v>6000000</v>
      </c>
      <c r="O31" s="186"/>
      <c r="P31" s="186"/>
      <c r="Q31" s="186">
        <f>9000000-3000000</f>
        <v>6000000</v>
      </c>
      <c r="R31" s="186"/>
      <c r="S31" s="150">
        <f>IF(D31="","-",VLOOKUP(D31,DATOS!$B$47:$C$48,2,0)-SUMIFS(P$2:P31,D$2:D31,D31))</f>
        <v>4614115166</v>
      </c>
      <c r="T31" s="150">
        <f>IF(D31="","-",VLOOKUP(D31,DATOS!$B$47:$D$48,3,0)-SUMIFS(Q$2:Q31,D$2:D31,D31))</f>
        <v>3392980814</v>
      </c>
      <c r="U31" s="150">
        <f>IF(D31="","-",VLOOKUP(D31,DATOS!$B$47:$E$48,4,0)-SUMIFS(R$2:R31,D$2:D31,D31))</f>
        <v>754103374</v>
      </c>
      <c r="V31" s="150">
        <f>IF(H31="","-",VLOOKUP(H31,DATOS!$D$52:$E$75,2,0)-SUMIFS(N$2:N31,H$2:H31,H31))</f>
        <v>102000000</v>
      </c>
      <c r="W31" s="72"/>
      <c r="X31" s="72"/>
      <c r="Y31" s="185" t="s">
        <v>307</v>
      </c>
      <c r="Z31" s="166" t="str">
        <f t="shared" si="12"/>
        <v>Prestar el servicio profesional para la validación de la APP del Archivo General de la Nación STI9</v>
      </c>
      <c r="AA31" s="71" t="s">
        <v>402</v>
      </c>
      <c r="AB31" s="71" t="s">
        <v>402</v>
      </c>
      <c r="AC31" s="71">
        <v>2</v>
      </c>
      <c r="AD31" s="71" t="s">
        <v>271</v>
      </c>
      <c r="AE31" s="72" t="str">
        <f t="shared" si="3"/>
        <v>Contratación directa</v>
      </c>
      <c r="AF31" s="72" t="str">
        <f t="shared" si="11"/>
        <v>Propios</v>
      </c>
      <c r="AG31" s="167">
        <f t="shared" si="14"/>
        <v>6000000</v>
      </c>
      <c r="AH31" s="167">
        <f t="shared" si="13"/>
        <v>6000000</v>
      </c>
      <c r="AI31" s="71" t="s">
        <v>272</v>
      </c>
      <c r="AJ31" s="71" t="s">
        <v>273</v>
      </c>
      <c r="AK31" s="72" t="s">
        <v>274</v>
      </c>
      <c r="AL31" s="71" t="s">
        <v>275</v>
      </c>
      <c r="AM31" s="72" t="s">
        <v>308</v>
      </c>
      <c r="AN31" s="89">
        <v>3282888</v>
      </c>
      <c r="AO31" s="180" t="s">
        <v>309</v>
      </c>
    </row>
    <row r="32" spans="1:41" s="88" customFormat="1" ht="105.75" customHeight="1" x14ac:dyDescent="0.3">
      <c r="A32" s="71" t="s">
        <v>533</v>
      </c>
      <c r="B32" s="72" t="s">
        <v>213</v>
      </c>
      <c r="C32" s="72" t="s">
        <v>198</v>
      </c>
      <c r="D32" s="72" t="s">
        <v>225</v>
      </c>
      <c r="E32" s="73" t="str">
        <f>IFERROR(VLOOKUP(D32,DATOS!E:F,2,0),"-")</f>
        <v>PROY2</v>
      </c>
      <c r="F32" s="72" t="s">
        <v>229</v>
      </c>
      <c r="G32" s="73" t="str">
        <f>IFERROR(VLOOKUP(F32,DATOS!G:H,2,0),"-")</f>
        <v>C_3302_1603_12_20302B_3302076</v>
      </c>
      <c r="H32" s="72" t="s">
        <v>239</v>
      </c>
      <c r="I32" s="72" t="s">
        <v>793</v>
      </c>
      <c r="J32" s="72" t="s">
        <v>161</v>
      </c>
      <c r="K32" s="72">
        <v>6</v>
      </c>
      <c r="L32" s="184">
        <f t="shared" si="9"/>
        <v>2250000</v>
      </c>
      <c r="M32" s="71">
        <v>2</v>
      </c>
      <c r="N32" s="190">
        <f t="shared" si="1"/>
        <v>27000000</v>
      </c>
      <c r="O32" s="186"/>
      <c r="P32" s="186"/>
      <c r="Q32" s="186">
        <v>16782511</v>
      </c>
      <c r="R32" s="186">
        <v>10217489</v>
      </c>
      <c r="S32" s="150">
        <f>IF(D32="","-",VLOOKUP(D32,DATOS!$B$47:$C$48,2,0)-SUMIFS(P$2:P32,D$2:D32,D32))</f>
        <v>4614115166</v>
      </c>
      <c r="T32" s="150">
        <f>IF(D32="","-",VLOOKUP(D32,DATOS!$B$47:$D$48,3,0)-SUMIFS(Q$2:Q32,D$2:D32,D32))</f>
        <v>3376198303</v>
      </c>
      <c r="U32" s="150">
        <f>IF(D32="","-",VLOOKUP(D32,DATOS!$B$47:$E$48,4,0)-SUMIFS(R$2:R32,D$2:D32,D32))</f>
        <v>743885885</v>
      </c>
      <c r="V32" s="150">
        <f>IF(H32="","-",VLOOKUP(H32,DATOS!$D$52:$E$75,2,0)-SUMIFS(N$2:N32,H$2:H32,H32))</f>
        <v>0</v>
      </c>
      <c r="W32" s="72"/>
      <c r="X32" s="72"/>
      <c r="Y32" s="185" t="s">
        <v>307</v>
      </c>
      <c r="Z32" s="166" t="str">
        <f t="shared" si="12"/>
        <v>Prestación de servicios para la elaboración de historias  que contribuyan al acceso del patrimonio y a la gestión documental electrónica STI10</v>
      </c>
      <c r="AA32" s="71" t="s">
        <v>278</v>
      </c>
      <c r="AB32" s="71" t="s">
        <v>278</v>
      </c>
      <c r="AC32" s="71">
        <v>6</v>
      </c>
      <c r="AD32" s="71" t="s">
        <v>271</v>
      </c>
      <c r="AE32" s="72" t="str">
        <f t="shared" si="3"/>
        <v>Contratación directa</v>
      </c>
      <c r="AF32" s="72" t="str">
        <f t="shared" ref="AF32:AF34" si="19">IF(SUM(O32:R32)=0,"-",IF(SUM(O32:P32)&gt;=SUM(Q32:R32),"Nación","Propios"))</f>
        <v>Propios</v>
      </c>
      <c r="AG32" s="167">
        <f t="shared" ref="AG32:AG34" si="20">AH32</f>
        <v>27000000</v>
      </c>
      <c r="AH32" s="167">
        <f t="shared" si="13"/>
        <v>27000000</v>
      </c>
      <c r="AI32" s="71" t="s">
        <v>272</v>
      </c>
      <c r="AJ32" s="71" t="s">
        <v>273</v>
      </c>
      <c r="AK32" s="72" t="s">
        <v>274</v>
      </c>
      <c r="AL32" s="71" t="s">
        <v>275</v>
      </c>
      <c r="AM32" s="72" t="s">
        <v>308</v>
      </c>
      <c r="AN32" s="89">
        <v>3282888</v>
      </c>
      <c r="AO32" s="180" t="s">
        <v>309</v>
      </c>
    </row>
    <row r="33" spans="1:41" s="88" customFormat="1" ht="105.75" customHeight="1" x14ac:dyDescent="0.3">
      <c r="A33" s="71" t="s">
        <v>534</v>
      </c>
      <c r="B33" s="72" t="s">
        <v>213</v>
      </c>
      <c r="C33" s="72" t="s">
        <v>198</v>
      </c>
      <c r="D33" s="72" t="s">
        <v>225</v>
      </c>
      <c r="E33" s="73" t="str">
        <f>IFERROR(VLOOKUP(D33,DATOS!E:F,2,0),"-")</f>
        <v>PROY2</v>
      </c>
      <c r="F33" s="72" t="s">
        <v>229</v>
      </c>
      <c r="G33" s="73" t="str">
        <f>IFERROR(VLOOKUP(F33,DATOS!G:H,2,0),"-")</f>
        <v>C_3302_1603_12_20302B_3302076</v>
      </c>
      <c r="H33" s="72" t="s">
        <v>238</v>
      </c>
      <c r="I33" s="72" t="s">
        <v>794</v>
      </c>
      <c r="J33" s="72" t="s">
        <v>161</v>
      </c>
      <c r="K33" s="72">
        <v>6</v>
      </c>
      <c r="L33" s="184">
        <f t="shared" si="9"/>
        <v>5000000</v>
      </c>
      <c r="M33" s="71">
        <v>1</v>
      </c>
      <c r="N33" s="190">
        <f t="shared" si="1"/>
        <v>30000000</v>
      </c>
      <c r="O33" s="186"/>
      <c r="P33" s="186">
        <v>30000000</v>
      </c>
      <c r="Q33" s="186"/>
      <c r="R33" s="186"/>
      <c r="S33" s="150">
        <f>IF(D33="","-",VLOOKUP(D33,DATOS!$B$47:$C$48,2,0)-SUMIFS(P$2:P33,D$2:D33,D33))</f>
        <v>4584115166</v>
      </c>
      <c r="T33" s="150">
        <f>IF(D33="","-",VLOOKUP(D33,DATOS!$B$47:$D$48,3,0)-SUMIFS(Q$2:Q33,D$2:D33,D33))</f>
        <v>3376198303</v>
      </c>
      <c r="U33" s="150">
        <f>IF(D33="","-",VLOOKUP(D33,DATOS!$B$47:$E$48,4,0)-SUMIFS(R$2:R33,D$2:D33,D33))</f>
        <v>743885885</v>
      </c>
      <c r="V33" s="150">
        <f>IF(H33="","-",VLOOKUP(H33,DATOS!$D$52:$E$75,2,0)-SUMIFS(N$2:N33,H$2:H33,H33))</f>
        <v>72000000</v>
      </c>
      <c r="W33" s="72"/>
      <c r="X33" s="72"/>
      <c r="Y33" s="185" t="s">
        <v>307</v>
      </c>
      <c r="Z33" s="166" t="str">
        <f t="shared" si="12"/>
        <v>Prestación de servicios profesionales en el diseño y elaboración de material de difusión de los contenidos enmarcados en la estrategia de comunicación del Archivo General de la Nación. STI11</v>
      </c>
      <c r="AA33" s="71" t="s">
        <v>292</v>
      </c>
      <c r="AB33" s="71" t="s">
        <v>292</v>
      </c>
      <c r="AC33" s="71">
        <v>6</v>
      </c>
      <c r="AD33" s="71" t="s">
        <v>271</v>
      </c>
      <c r="AE33" s="72" t="str">
        <f t="shared" si="3"/>
        <v>Contratación directa</v>
      </c>
      <c r="AF33" s="72" t="str">
        <f t="shared" si="19"/>
        <v>Nación</v>
      </c>
      <c r="AG33" s="167">
        <f t="shared" si="20"/>
        <v>30000000</v>
      </c>
      <c r="AH33" s="167">
        <f t="shared" si="13"/>
        <v>30000000</v>
      </c>
      <c r="AI33" s="71" t="s">
        <v>272</v>
      </c>
      <c r="AJ33" s="71" t="s">
        <v>273</v>
      </c>
      <c r="AK33" s="72" t="s">
        <v>274</v>
      </c>
      <c r="AL33" s="71" t="s">
        <v>275</v>
      </c>
      <c r="AM33" s="72" t="s">
        <v>308</v>
      </c>
      <c r="AN33" s="89">
        <v>3282888</v>
      </c>
      <c r="AO33" s="180" t="s">
        <v>309</v>
      </c>
    </row>
    <row r="34" spans="1:41" s="88" customFormat="1" ht="105.75" customHeight="1" x14ac:dyDescent="0.3">
      <c r="A34" s="71" t="s">
        <v>800</v>
      </c>
      <c r="B34" s="72" t="s">
        <v>213</v>
      </c>
      <c r="C34" s="72" t="s">
        <v>198</v>
      </c>
      <c r="D34" s="72" t="s">
        <v>225</v>
      </c>
      <c r="E34" s="73" t="str">
        <f>IFERROR(VLOOKUP(D34,DATOS!E:F,2,0),"-")</f>
        <v>PROY2</v>
      </c>
      <c r="F34" s="72" t="s">
        <v>229</v>
      </c>
      <c r="G34" s="73" t="str">
        <f>IFERROR(VLOOKUP(F34,DATOS!G:H,2,0),"-")</f>
        <v>C_3302_1603_12_20302B_3302076</v>
      </c>
      <c r="H34" s="72" t="s">
        <v>238</v>
      </c>
      <c r="I34" s="72" t="s">
        <v>795</v>
      </c>
      <c r="J34" s="72" t="s">
        <v>161</v>
      </c>
      <c r="K34" s="72">
        <v>6</v>
      </c>
      <c r="L34" s="184">
        <f t="shared" si="9"/>
        <v>3000000</v>
      </c>
      <c r="M34" s="71">
        <v>1</v>
      </c>
      <c r="N34" s="190">
        <f t="shared" si="1"/>
        <v>18000000</v>
      </c>
      <c r="O34" s="186"/>
      <c r="P34" s="186">
        <v>18000000</v>
      </c>
      <c r="Q34" s="186"/>
      <c r="R34" s="186"/>
      <c r="S34" s="150">
        <f>IF(D34="","-",VLOOKUP(D34,DATOS!$B$47:$C$48,2,0)-SUMIFS(P$2:P34,D$2:D34,D34))</f>
        <v>4566115166</v>
      </c>
      <c r="T34" s="150">
        <f>IF(D34="","-",VLOOKUP(D34,DATOS!$B$47:$D$48,3,0)-SUMIFS(Q$2:Q34,D$2:D34,D34))</f>
        <v>3376198303</v>
      </c>
      <c r="U34" s="150">
        <f>IF(D34="","-",VLOOKUP(D34,DATOS!$B$47:$E$48,4,0)-SUMIFS(R$2:R34,D$2:D34,D34))</f>
        <v>743885885</v>
      </c>
      <c r="V34" s="150">
        <f>IF(H34="","-",VLOOKUP(H34,DATOS!$D$52:$E$75,2,0)-SUMIFS(N$2:N34,H$2:H34,H34))</f>
        <v>54000000</v>
      </c>
      <c r="W34" s="72"/>
      <c r="X34" s="72"/>
      <c r="Y34" s="185" t="s">
        <v>307</v>
      </c>
      <c r="Z34" s="166" t="str">
        <f t="shared" si="12"/>
        <v xml:space="preserve">
Prestar servicios de apoyo para la producción y desarrollo de piezas gráficas que permitan la difusión de las actividades de la entidad STI12</v>
      </c>
      <c r="AA34" s="71" t="s">
        <v>292</v>
      </c>
      <c r="AB34" s="71" t="s">
        <v>292</v>
      </c>
      <c r="AC34" s="71">
        <v>6</v>
      </c>
      <c r="AD34" s="71" t="s">
        <v>271</v>
      </c>
      <c r="AE34" s="72" t="str">
        <f t="shared" si="3"/>
        <v>Contratación directa</v>
      </c>
      <c r="AF34" s="72" t="str">
        <f t="shared" si="19"/>
        <v>Nación</v>
      </c>
      <c r="AG34" s="167">
        <f t="shared" si="20"/>
        <v>18000000</v>
      </c>
      <c r="AH34" s="167">
        <f t="shared" si="13"/>
        <v>18000000</v>
      </c>
      <c r="AI34" s="71" t="s">
        <v>272</v>
      </c>
      <c r="AJ34" s="71" t="s">
        <v>273</v>
      </c>
      <c r="AK34" s="72" t="s">
        <v>274</v>
      </c>
      <c r="AL34" s="71" t="s">
        <v>275</v>
      </c>
      <c r="AM34" s="72" t="s">
        <v>308</v>
      </c>
      <c r="AN34" s="89">
        <v>3282888</v>
      </c>
      <c r="AO34" s="180" t="s">
        <v>309</v>
      </c>
    </row>
    <row r="35" spans="1:41" s="88" customFormat="1" ht="105.75" customHeight="1" x14ac:dyDescent="0.3">
      <c r="A35" s="71" t="s">
        <v>797</v>
      </c>
      <c r="B35" s="72" t="s">
        <v>213</v>
      </c>
      <c r="C35" s="72" t="s">
        <v>198</v>
      </c>
      <c r="D35" s="72" t="s">
        <v>225</v>
      </c>
      <c r="E35" s="73" t="str">
        <f>IFERROR(VLOOKUP(D35,DATOS!E:F,2,0),"-")</f>
        <v>PROY2</v>
      </c>
      <c r="F35" s="72" t="s">
        <v>229</v>
      </c>
      <c r="G35" s="73" t="str">
        <f>IFERROR(VLOOKUP(F35,DATOS!G:H,2,0),"-")</f>
        <v>C_3302_1603_12_20302B_3302076</v>
      </c>
      <c r="H35" s="72" t="s">
        <v>238</v>
      </c>
      <c r="I35" s="72" t="s">
        <v>796</v>
      </c>
      <c r="J35" s="72" t="s">
        <v>161</v>
      </c>
      <c r="K35" s="72">
        <v>3</v>
      </c>
      <c r="L35" s="184">
        <f t="shared" ref="L35" si="21">(N35/M35)/K35</f>
        <v>4000000</v>
      </c>
      <c r="M35" s="71">
        <v>1</v>
      </c>
      <c r="N35" s="190">
        <f t="shared" ref="N35" si="22">IF(SUM(O35:R35)=0,"-",SUM(O35:R35))</f>
        <v>12000000</v>
      </c>
      <c r="O35" s="186"/>
      <c r="P35" s="186">
        <v>12000000</v>
      </c>
      <c r="Q35" s="186"/>
      <c r="R35" s="186"/>
      <c r="S35" s="150">
        <f>IF(D35="","-",VLOOKUP(D35,DATOS!$B$47:$C$48,2,0)-SUMIFS(P$2:P35,D$2:D35,D35))</f>
        <v>4554115166</v>
      </c>
      <c r="T35" s="150">
        <f>IF(D35="","-",VLOOKUP(D35,DATOS!$B$47:$D$48,3,0)-SUMIFS(Q$2:Q35,D$2:D35,D35))</f>
        <v>3376198303</v>
      </c>
      <c r="U35" s="150">
        <f>IF(D35="","-",VLOOKUP(D35,DATOS!$B$47:$E$48,4,0)-SUMIFS(R$2:R35,D$2:D35,D35))</f>
        <v>743885885</v>
      </c>
      <c r="V35" s="150">
        <f>IF(H35="","-",VLOOKUP(H35,DATOS!$D$52:$E$75,2,0)-SUMIFS(N$2:N35,H$2:H35,H35))</f>
        <v>42000000</v>
      </c>
      <c r="W35" s="72"/>
      <c r="X35" s="72"/>
      <c r="Y35" s="185" t="s">
        <v>307</v>
      </c>
      <c r="Z35" s="166" t="str">
        <f t="shared" si="12"/>
        <v xml:space="preserve">
Prestar  los servicios profesionales como community manager al Archivo General de la Nación    
STI13</v>
      </c>
      <c r="AA35" s="71" t="s">
        <v>292</v>
      </c>
      <c r="AB35" s="71" t="s">
        <v>292</v>
      </c>
      <c r="AC35" s="71">
        <v>3</v>
      </c>
      <c r="AD35" s="71" t="s">
        <v>271</v>
      </c>
      <c r="AE35" s="72" t="str">
        <f t="shared" si="3"/>
        <v>Contratación directa</v>
      </c>
      <c r="AF35" s="72" t="str">
        <f t="shared" ref="AF35" si="23">IF(SUM(O35:R35)=0,"-",IF(SUM(O35:P35)&gt;=SUM(Q35:R35),"Nación","Propios"))</f>
        <v>Nación</v>
      </c>
      <c r="AG35" s="167">
        <f t="shared" ref="AG35" si="24">AH35</f>
        <v>12000000</v>
      </c>
      <c r="AH35" s="167">
        <f t="shared" si="13"/>
        <v>12000000</v>
      </c>
      <c r="AI35" s="71" t="s">
        <v>272</v>
      </c>
      <c r="AJ35" s="71" t="s">
        <v>273</v>
      </c>
      <c r="AK35" s="72" t="s">
        <v>274</v>
      </c>
      <c r="AL35" s="71" t="s">
        <v>275</v>
      </c>
      <c r="AM35" s="72" t="s">
        <v>308</v>
      </c>
      <c r="AN35" s="89">
        <v>3282888</v>
      </c>
      <c r="AO35" s="180" t="s">
        <v>309</v>
      </c>
    </row>
    <row r="36" spans="1:41" s="88" customFormat="1" ht="105.75" customHeight="1" x14ac:dyDescent="0.3">
      <c r="A36" s="71" t="s">
        <v>798</v>
      </c>
      <c r="B36" s="72" t="s">
        <v>213</v>
      </c>
      <c r="C36" s="72" t="s">
        <v>198</v>
      </c>
      <c r="D36" s="72" t="s">
        <v>225</v>
      </c>
      <c r="E36" s="73" t="str">
        <f>IFERROR(VLOOKUP(D36,DATOS!E:F,2,0),"-")</f>
        <v>PROY2</v>
      </c>
      <c r="F36" s="72" t="s">
        <v>229</v>
      </c>
      <c r="G36" s="73" t="str">
        <f>IFERROR(VLOOKUP(F36,DATOS!G:H,2,0),"-")</f>
        <v>C_3302_1603_12_20302B_3302076</v>
      </c>
      <c r="H36" s="72" t="s">
        <v>238</v>
      </c>
      <c r="I36" s="91" t="s">
        <v>799</v>
      </c>
      <c r="J36" s="72" t="s">
        <v>161</v>
      </c>
      <c r="K36" s="72">
        <v>6</v>
      </c>
      <c r="L36" s="184">
        <f t="shared" ref="L36" si="25">(N36/M36)/K36</f>
        <v>7000000</v>
      </c>
      <c r="M36" s="71">
        <v>1</v>
      </c>
      <c r="N36" s="190">
        <f t="shared" ref="N36" si="26">IF(SUM(O36:R36)=0,"-",SUM(O36:R36))</f>
        <v>42000000</v>
      </c>
      <c r="O36" s="186"/>
      <c r="P36" s="186">
        <v>39000000</v>
      </c>
      <c r="Q36" s="186">
        <v>3000000</v>
      </c>
      <c r="R36" s="186"/>
      <c r="S36" s="150">
        <f>IF(D36="","-",VLOOKUP(D36,DATOS!$B$47:$C$48,2,0)-SUMIFS(P$2:P36,D$2:D36,D36))</f>
        <v>4515115166</v>
      </c>
      <c r="T36" s="150">
        <f>IF(D36="","-",VLOOKUP(D36,DATOS!$B$47:$D$48,3,0)-SUMIFS(Q$2:Q36,D$2:D36,D36))</f>
        <v>3373198303</v>
      </c>
      <c r="U36" s="150">
        <f>IF(D36="","-",VLOOKUP(D36,DATOS!$B$47:$E$48,4,0)-SUMIFS(R$2:R36,D$2:D36,D36))</f>
        <v>743885885</v>
      </c>
      <c r="V36" s="150">
        <f>IF(H36="","-",VLOOKUP(H36,DATOS!$D$52:$E$75,2,0)-SUMIFS(N$2:N36,H$2:H36,H36))</f>
        <v>0</v>
      </c>
      <c r="W36" s="72"/>
      <c r="X36" s="72"/>
      <c r="Y36" s="185" t="s">
        <v>307</v>
      </c>
      <c r="Z36" s="166" t="str">
        <f t="shared" si="12"/>
        <v>Prestar sevicios profesionales para el apoyo jurídico   STI14</v>
      </c>
      <c r="AA36" s="71" t="s">
        <v>292</v>
      </c>
      <c r="AB36" s="71" t="s">
        <v>292</v>
      </c>
      <c r="AC36" s="71">
        <v>6</v>
      </c>
      <c r="AD36" s="71" t="s">
        <v>271</v>
      </c>
      <c r="AE36" s="72" t="str">
        <f t="shared" si="3"/>
        <v>Contratación directa</v>
      </c>
      <c r="AF36" s="72" t="str">
        <f t="shared" ref="AF36" si="27">IF(SUM(O36:R36)=0,"-",IF(SUM(O36:P36)&gt;=SUM(Q36:R36),"Nación","Propios"))</f>
        <v>Nación</v>
      </c>
      <c r="AG36" s="167">
        <f t="shared" ref="AG36" si="28">AH36</f>
        <v>42000000</v>
      </c>
      <c r="AH36" s="167">
        <f t="shared" si="13"/>
        <v>42000000</v>
      </c>
      <c r="AI36" s="71" t="s">
        <v>272</v>
      </c>
      <c r="AJ36" s="71" t="s">
        <v>273</v>
      </c>
      <c r="AK36" s="72" t="s">
        <v>274</v>
      </c>
      <c r="AL36" s="71" t="s">
        <v>275</v>
      </c>
      <c r="AM36" s="72" t="s">
        <v>308</v>
      </c>
      <c r="AN36" s="89">
        <v>3282888</v>
      </c>
      <c r="AO36" s="180" t="s">
        <v>309</v>
      </c>
    </row>
    <row r="37" spans="1:41" s="88" customFormat="1" ht="100.5" customHeight="1" x14ac:dyDescent="0.3">
      <c r="A37" s="72" t="s">
        <v>310</v>
      </c>
      <c r="B37" s="72" t="s">
        <v>214</v>
      </c>
      <c r="C37" s="72" t="s">
        <v>198</v>
      </c>
      <c r="D37" s="72" t="s">
        <v>225</v>
      </c>
      <c r="E37" s="73" t="str">
        <f>IFERROR(VLOOKUP(D37,DATOS!E:F,2,0),"-")</f>
        <v>PROY2</v>
      </c>
      <c r="F37" s="72" t="s">
        <v>179</v>
      </c>
      <c r="G37" s="73" t="str">
        <f>IFERROR(VLOOKUP(F37,DATOS!G:H,2,0),"-")</f>
        <v>C_3302_1603_12_20302B_3302071</v>
      </c>
      <c r="H37" s="72" t="s">
        <v>234</v>
      </c>
      <c r="I37" s="72" t="s">
        <v>317</v>
      </c>
      <c r="J37" s="72" t="s">
        <v>161</v>
      </c>
      <c r="K37" s="72">
        <v>11</v>
      </c>
      <c r="L37" s="184">
        <f t="shared" si="9"/>
        <v>5000000</v>
      </c>
      <c r="M37" s="72">
        <v>2</v>
      </c>
      <c r="N37" s="191">
        <f t="shared" si="1"/>
        <v>110000000</v>
      </c>
      <c r="O37" s="186"/>
      <c r="P37" s="186">
        <v>110000000</v>
      </c>
      <c r="Q37" s="186"/>
      <c r="R37" s="186"/>
      <c r="S37" s="150">
        <f>IF(D37="","-",VLOOKUP(D37,DATOS!$B$47:$C$48,2,0)-SUMIFS(P$2:P37,D$2:D37,D37))</f>
        <v>4405115166</v>
      </c>
      <c r="T37" s="150">
        <f>IF(D37="","-",VLOOKUP(D37,DATOS!$B$47:$D$48,3,0)-SUMIFS(Q$2:Q37,D$2:D37,D37))</f>
        <v>3373198303</v>
      </c>
      <c r="U37" s="150">
        <f>IF(D37="","-",VLOOKUP(D37,DATOS!$B$47:$E$48,4,0)-SUMIFS(R$2:R37,D$2:D37,D37))</f>
        <v>743885885</v>
      </c>
      <c r="V37" s="150">
        <f>IF(H37="","-",VLOOKUP(H37,DATOS!$D$52:$E$75,2,0)-SUMIFS(N$2:N37,H$2:H37,H37))</f>
        <v>374648867</v>
      </c>
      <c r="W37" s="72"/>
      <c r="X37" s="72"/>
      <c r="Y37" s="72">
        <v>80111601</v>
      </c>
      <c r="Z37" s="166" t="str">
        <f t="shared" si="12"/>
        <v xml:space="preserve">Prestación de Servicios Profesionales para analizar administrativa, contable y financieramente las PQRSD de las entidadades liquidadas en custodia del AGN, dando trámite y realizando seguimiento diario a las solicitudes. SEL01 </v>
      </c>
      <c r="AA37" s="72" t="s">
        <v>292</v>
      </c>
      <c r="AB37" s="72" t="s">
        <v>292</v>
      </c>
      <c r="AC37" s="71">
        <v>11</v>
      </c>
      <c r="AD37" s="71" t="s">
        <v>271</v>
      </c>
      <c r="AE37" s="72" t="str">
        <f t="shared" si="3"/>
        <v>Contratación directa</v>
      </c>
      <c r="AF37" s="72" t="str">
        <f t="shared" si="11"/>
        <v>Nación</v>
      </c>
      <c r="AG37" s="167">
        <f t="shared" si="14"/>
        <v>110000000</v>
      </c>
      <c r="AH37" s="167">
        <f t="shared" si="13"/>
        <v>110000000</v>
      </c>
      <c r="AI37" s="71" t="s">
        <v>272</v>
      </c>
      <c r="AJ37" s="71" t="s">
        <v>273</v>
      </c>
      <c r="AK37" s="72" t="s">
        <v>274</v>
      </c>
      <c r="AL37" s="71" t="s">
        <v>275</v>
      </c>
      <c r="AM37" s="72" t="s">
        <v>323</v>
      </c>
      <c r="AN37" s="89">
        <v>3282888</v>
      </c>
      <c r="AO37" s="180" t="s">
        <v>276</v>
      </c>
    </row>
    <row r="38" spans="1:41" s="88" customFormat="1" ht="99.75" customHeight="1" x14ac:dyDescent="0.3">
      <c r="A38" s="79" t="s">
        <v>311</v>
      </c>
      <c r="B38" s="72" t="s">
        <v>214</v>
      </c>
      <c r="C38" s="72" t="s">
        <v>198</v>
      </c>
      <c r="D38" s="72" t="s">
        <v>225</v>
      </c>
      <c r="E38" s="73" t="str">
        <f>IFERROR(VLOOKUP(D38,DATOS!E:F,2,0),"-")</f>
        <v>PROY2</v>
      </c>
      <c r="F38" s="72" t="s">
        <v>179</v>
      </c>
      <c r="G38" s="73" t="str">
        <f>IFERROR(VLOOKUP(F38,DATOS!G:H,2,0),"-")</f>
        <v>C_3302_1603_12_20302B_3302071</v>
      </c>
      <c r="H38" s="72" t="s">
        <v>234</v>
      </c>
      <c r="I38" s="79" t="s">
        <v>318</v>
      </c>
      <c r="J38" s="72" t="s">
        <v>161</v>
      </c>
      <c r="K38" s="72">
        <v>11</v>
      </c>
      <c r="L38" s="76">
        <f t="shared" si="9"/>
        <v>2800000</v>
      </c>
      <c r="M38" s="72">
        <v>4</v>
      </c>
      <c r="N38" s="192">
        <f t="shared" si="1"/>
        <v>123200000</v>
      </c>
      <c r="O38" s="87"/>
      <c r="P38" s="87">
        <v>123200000</v>
      </c>
      <c r="Q38" s="87"/>
      <c r="R38" s="87"/>
      <c r="S38" s="150">
        <f>IF(D38="","-",VLOOKUP(D38,DATOS!$B$47:$C$48,2,0)-SUMIFS(P$2:P38,D$2:D38,D38))</f>
        <v>4281915166</v>
      </c>
      <c r="T38" s="150">
        <f>IF(D38="","-",VLOOKUP(D38,DATOS!$B$47:$D$48,3,0)-SUMIFS(Q$2:Q38,D$2:D38,D38))</f>
        <v>3373198303</v>
      </c>
      <c r="U38" s="150">
        <f>IF(D38="","-",VLOOKUP(D38,DATOS!$B$47:$E$48,4,0)-SUMIFS(R$2:R38,D$2:D38,D38))</f>
        <v>743885885</v>
      </c>
      <c r="V38" s="150">
        <f>IF(H38="","-",VLOOKUP(H38,DATOS!$D$52:$E$75,2,0)-SUMIFS(N$2:N38,H$2:H38,H38))</f>
        <v>251448867</v>
      </c>
      <c r="W38" s="79"/>
      <c r="X38" s="79"/>
      <c r="Y38" s="72">
        <v>80111601</v>
      </c>
      <c r="Z38" s="166" t="str">
        <f t="shared" si="12"/>
        <v>Prestación de Servicios técnicos con plena autonomía para la elaboración de certificaciones financieras, laborales y contractuales como soporte de las respuestas a las PQRSD de las entidades liquidadas en custodia del AGN. SEL02</v>
      </c>
      <c r="AA38" s="72" t="s">
        <v>292</v>
      </c>
      <c r="AB38" s="72" t="s">
        <v>292</v>
      </c>
      <c r="AC38" s="71">
        <v>11</v>
      </c>
      <c r="AD38" s="71" t="s">
        <v>271</v>
      </c>
      <c r="AE38" s="72" t="str">
        <f t="shared" si="3"/>
        <v>Contratación directa</v>
      </c>
      <c r="AF38" s="72" t="str">
        <f t="shared" si="11"/>
        <v>Nación</v>
      </c>
      <c r="AG38" s="167">
        <f t="shared" si="14"/>
        <v>123200000</v>
      </c>
      <c r="AH38" s="167">
        <f t="shared" si="13"/>
        <v>123200000</v>
      </c>
      <c r="AI38" s="71" t="s">
        <v>272</v>
      </c>
      <c r="AJ38" s="71" t="s">
        <v>273</v>
      </c>
      <c r="AK38" s="72" t="s">
        <v>274</v>
      </c>
      <c r="AL38" s="71" t="s">
        <v>275</v>
      </c>
      <c r="AM38" s="79" t="s">
        <v>323</v>
      </c>
      <c r="AN38" s="89">
        <v>3282888</v>
      </c>
      <c r="AO38" s="169" t="s">
        <v>276</v>
      </c>
    </row>
    <row r="39" spans="1:41" s="88" customFormat="1" ht="95.25" customHeight="1" x14ac:dyDescent="0.3">
      <c r="A39" s="79" t="s">
        <v>312</v>
      </c>
      <c r="B39" s="72" t="s">
        <v>214</v>
      </c>
      <c r="C39" s="72" t="s">
        <v>198</v>
      </c>
      <c r="D39" s="72" t="s">
        <v>225</v>
      </c>
      <c r="E39" s="73" t="str">
        <f>IFERROR(VLOOKUP(D39,DATOS!E:F,2,0),"-")</f>
        <v>PROY2</v>
      </c>
      <c r="F39" s="72" t="s">
        <v>179</v>
      </c>
      <c r="G39" s="73" t="str">
        <f>IFERROR(VLOOKUP(F39,DATOS!G:H,2,0),"-")</f>
        <v>C_3302_1603_12_20302B_3302071</v>
      </c>
      <c r="H39" s="72" t="s">
        <v>234</v>
      </c>
      <c r="I39" s="79" t="s">
        <v>319</v>
      </c>
      <c r="J39" s="72" t="s">
        <v>161</v>
      </c>
      <c r="K39" s="82">
        <v>11</v>
      </c>
      <c r="L39" s="76">
        <f t="shared" si="9"/>
        <v>2800000</v>
      </c>
      <c r="M39" s="72">
        <v>6</v>
      </c>
      <c r="N39" s="192">
        <f t="shared" si="1"/>
        <v>184800000</v>
      </c>
      <c r="O39" s="87"/>
      <c r="P39" s="87">
        <v>184800000</v>
      </c>
      <c r="Q39" s="87"/>
      <c r="R39" s="87"/>
      <c r="S39" s="150">
        <f>IF(D39="","-",VLOOKUP(D39,DATOS!$B$47:$C$48,2,0)-SUMIFS(P$2:P39,D$2:D39,D39))</f>
        <v>4097115166</v>
      </c>
      <c r="T39" s="150">
        <f>IF(D39="","-",VLOOKUP(D39,DATOS!$B$47:$D$48,3,0)-SUMIFS(Q$2:Q39,D$2:D39,D39))</f>
        <v>3373198303</v>
      </c>
      <c r="U39" s="150">
        <f>IF(D39="","-",VLOOKUP(D39,DATOS!$B$47:$E$48,4,0)-SUMIFS(R$2:R39,D$2:D39,D39))</f>
        <v>743885885</v>
      </c>
      <c r="V39" s="150">
        <f>IF(H39="","-",VLOOKUP(H39,DATOS!$D$52:$E$75,2,0)-SUMIFS(N$2:N39,H$2:H39,H39))</f>
        <v>66648867</v>
      </c>
      <c r="W39" s="79"/>
      <c r="X39" s="79"/>
      <c r="Y39" s="72">
        <v>80111601</v>
      </c>
      <c r="Z39" s="166" t="str">
        <f t="shared" si="12"/>
        <v>Prestación de Servicios técnicos con plena autonomía para la búsqueda y digitalización de información física y magnética encontrada en los fondos documentales de las entidades liquidadas en custodia del AGN. SEL03</v>
      </c>
      <c r="AA39" s="72" t="s">
        <v>292</v>
      </c>
      <c r="AB39" s="72" t="s">
        <v>292</v>
      </c>
      <c r="AC39" s="71">
        <v>11</v>
      </c>
      <c r="AD39" s="71" t="s">
        <v>271</v>
      </c>
      <c r="AE39" s="72" t="str">
        <f t="shared" si="3"/>
        <v>Contratación directa</v>
      </c>
      <c r="AF39" s="72" t="str">
        <f t="shared" si="11"/>
        <v>Nación</v>
      </c>
      <c r="AG39" s="167">
        <f t="shared" si="14"/>
        <v>184800000</v>
      </c>
      <c r="AH39" s="167">
        <f t="shared" si="13"/>
        <v>184800000</v>
      </c>
      <c r="AI39" s="71" t="s">
        <v>272</v>
      </c>
      <c r="AJ39" s="71" t="s">
        <v>273</v>
      </c>
      <c r="AK39" s="72" t="s">
        <v>274</v>
      </c>
      <c r="AL39" s="71" t="s">
        <v>275</v>
      </c>
      <c r="AM39" s="79" t="s">
        <v>323</v>
      </c>
      <c r="AN39" s="89">
        <v>3282888</v>
      </c>
      <c r="AO39" s="169" t="s">
        <v>276</v>
      </c>
    </row>
    <row r="40" spans="1:41" s="88" customFormat="1" ht="87.75" customHeight="1" x14ac:dyDescent="0.3">
      <c r="A40" s="79" t="s">
        <v>313</v>
      </c>
      <c r="B40" s="72" t="s">
        <v>214</v>
      </c>
      <c r="C40" s="72" t="s">
        <v>198</v>
      </c>
      <c r="D40" s="72" t="s">
        <v>225</v>
      </c>
      <c r="E40" s="73" t="str">
        <f>IFERROR(VLOOKUP(D40,DATOS!E:F,2,0),"-")</f>
        <v>PROY2</v>
      </c>
      <c r="F40" s="72" t="s">
        <v>179</v>
      </c>
      <c r="G40" s="73" t="str">
        <f>IFERROR(VLOOKUP(F40,DATOS!G:H,2,0),"-")</f>
        <v>C_3302_1603_12_20302B_3302071</v>
      </c>
      <c r="H40" s="72" t="s">
        <v>234</v>
      </c>
      <c r="I40" s="79" t="s">
        <v>320</v>
      </c>
      <c r="J40" s="72" t="s">
        <v>161</v>
      </c>
      <c r="K40" s="82">
        <v>7</v>
      </c>
      <c r="L40" s="76">
        <f t="shared" si="9"/>
        <v>7000000</v>
      </c>
      <c r="M40" s="72">
        <v>1</v>
      </c>
      <c r="N40" s="192">
        <f t="shared" si="1"/>
        <v>49000000</v>
      </c>
      <c r="O40" s="87"/>
      <c r="P40" s="87">
        <v>49000000</v>
      </c>
      <c r="Q40" s="87"/>
      <c r="R40" s="87"/>
      <c r="S40" s="150">
        <f>IF(D40="","-",VLOOKUP(D40,DATOS!$B$47:$C$48,2,0)-SUMIFS(P$2:P40,D$2:D40,D40))</f>
        <v>4048115166</v>
      </c>
      <c r="T40" s="150">
        <f>IF(D40="","-",VLOOKUP(D40,DATOS!$B$47:$D$48,3,0)-SUMIFS(Q$2:Q40,D$2:D40,D40))</f>
        <v>3373198303</v>
      </c>
      <c r="U40" s="150">
        <f>IF(D40="","-",VLOOKUP(D40,DATOS!$B$47:$E$48,4,0)-SUMIFS(R$2:R40,D$2:D40,D40))</f>
        <v>743885885</v>
      </c>
      <c r="V40" s="150">
        <f>IF(H40="","-",VLOOKUP(H40,DATOS!$D$52:$E$75,2,0)-SUMIFS(N$2:N40,H$2:H40,H40))</f>
        <v>17648867</v>
      </c>
      <c r="W40" s="79"/>
      <c r="X40" s="79"/>
      <c r="Y40" s="72">
        <v>80111601</v>
      </c>
      <c r="Z40" s="166" t="str">
        <f t="shared" si="12"/>
        <v>Prestación de Servicios Profesionales de abogado para apoyar la gestión jurídica y contractual del Archivo General de la Nación. SEL04</v>
      </c>
      <c r="AA40" s="72" t="s">
        <v>292</v>
      </c>
      <c r="AB40" s="72" t="s">
        <v>292</v>
      </c>
      <c r="AC40" s="71">
        <v>11</v>
      </c>
      <c r="AD40" s="71" t="s">
        <v>271</v>
      </c>
      <c r="AE40" s="72" t="str">
        <f t="shared" si="3"/>
        <v>Contratación directa</v>
      </c>
      <c r="AF40" s="72" t="str">
        <f t="shared" si="11"/>
        <v>Nación</v>
      </c>
      <c r="AG40" s="167">
        <f t="shared" si="14"/>
        <v>49000000</v>
      </c>
      <c r="AH40" s="167">
        <f t="shared" si="13"/>
        <v>49000000</v>
      </c>
      <c r="AI40" s="71" t="s">
        <v>272</v>
      </c>
      <c r="AJ40" s="71" t="s">
        <v>273</v>
      </c>
      <c r="AK40" s="72" t="s">
        <v>274</v>
      </c>
      <c r="AL40" s="71" t="s">
        <v>275</v>
      </c>
      <c r="AM40" s="79" t="s">
        <v>323</v>
      </c>
      <c r="AN40" s="89">
        <v>3282888</v>
      </c>
      <c r="AO40" s="169" t="s">
        <v>276</v>
      </c>
    </row>
    <row r="41" spans="1:41" s="88" customFormat="1" ht="90" customHeight="1" x14ac:dyDescent="0.3">
      <c r="A41" s="79" t="s">
        <v>314</v>
      </c>
      <c r="B41" s="72" t="s">
        <v>214</v>
      </c>
      <c r="C41" s="72" t="s">
        <v>198</v>
      </c>
      <c r="D41" s="72" t="s">
        <v>225</v>
      </c>
      <c r="E41" s="73" t="str">
        <f>IFERROR(VLOOKUP(D41,DATOS!E:F,2,0),"-")</f>
        <v>PROY2</v>
      </c>
      <c r="F41" s="72" t="s">
        <v>179</v>
      </c>
      <c r="G41" s="73" t="str">
        <f>IFERROR(VLOOKUP(F41,DATOS!G:H,2,0),"-")</f>
        <v>C_3302_1603_12_20302B_3302071</v>
      </c>
      <c r="H41" s="72" t="s">
        <v>234</v>
      </c>
      <c r="I41" s="79" t="s">
        <v>321</v>
      </c>
      <c r="J41" s="72" t="s">
        <v>167</v>
      </c>
      <c r="K41" s="82">
        <v>1</v>
      </c>
      <c r="L41" s="76">
        <f t="shared" si="9"/>
        <v>11648867</v>
      </c>
      <c r="M41" s="72">
        <v>1</v>
      </c>
      <c r="N41" s="192">
        <f t="shared" si="1"/>
        <v>11648867</v>
      </c>
      <c r="O41" s="87"/>
      <c r="P41" s="87">
        <v>11648867</v>
      </c>
      <c r="Q41" s="87"/>
      <c r="R41" s="87"/>
      <c r="S41" s="150">
        <f>IF(D41="","-",VLOOKUP(D41,DATOS!$B$47:$C$48,2,0)-SUMIFS(P$2:P41,D$2:D41,D41))</f>
        <v>4036466299</v>
      </c>
      <c r="T41" s="150">
        <f>IF(D41="","-",VLOOKUP(D41,DATOS!$B$47:$D$48,3,0)-SUMIFS(Q$2:Q41,D$2:D41,D41))</f>
        <v>3373198303</v>
      </c>
      <c r="U41" s="150">
        <f>IF(D41="","-",VLOOKUP(D41,DATOS!$B$47:$E$48,4,0)-SUMIFS(R$2:R41,D$2:D41,D41))</f>
        <v>743885885</v>
      </c>
      <c r="V41" s="150">
        <f>IF(H41="","-",VLOOKUP(H41,DATOS!$D$52:$E$75,2,0)-SUMIFS(N$2:N41,H$2:H41,H41))</f>
        <v>6000000</v>
      </c>
      <c r="W41" s="79"/>
      <c r="X41" s="79"/>
      <c r="Y41" s="72">
        <v>80111601</v>
      </c>
      <c r="Z41" s="166" t="str">
        <f t="shared" si="12"/>
        <v>Compra de Papelería, útiles de escritorio para el Archivo General de la Nación Jorge Palacios Preciado; de conformidad con las especificaciones contempladas en la ficha técnica. SEL05</v>
      </c>
      <c r="AA41" s="71" t="s">
        <v>278</v>
      </c>
      <c r="AB41" s="71" t="s">
        <v>278</v>
      </c>
      <c r="AC41" s="71">
        <v>1</v>
      </c>
      <c r="AD41" s="71" t="s">
        <v>271</v>
      </c>
      <c r="AE41" s="72" t="str">
        <f t="shared" si="3"/>
        <v>Mínima cuantía</v>
      </c>
      <c r="AF41" s="72" t="str">
        <f t="shared" si="11"/>
        <v>Nación</v>
      </c>
      <c r="AG41" s="167">
        <f t="shared" si="14"/>
        <v>11648867</v>
      </c>
      <c r="AH41" s="167">
        <f t="shared" si="13"/>
        <v>11648867</v>
      </c>
      <c r="AI41" s="71" t="s">
        <v>272</v>
      </c>
      <c r="AJ41" s="71" t="s">
        <v>273</v>
      </c>
      <c r="AK41" s="72" t="s">
        <v>274</v>
      </c>
      <c r="AL41" s="71" t="s">
        <v>275</v>
      </c>
      <c r="AM41" s="79" t="s">
        <v>323</v>
      </c>
      <c r="AN41" s="89">
        <v>3282888</v>
      </c>
      <c r="AO41" s="169" t="s">
        <v>276</v>
      </c>
    </row>
    <row r="42" spans="1:41" s="88" customFormat="1" ht="95.25" customHeight="1" x14ac:dyDescent="0.3">
      <c r="A42" s="79" t="s">
        <v>315</v>
      </c>
      <c r="B42" s="72" t="s">
        <v>214</v>
      </c>
      <c r="C42" s="72" t="s">
        <v>198</v>
      </c>
      <c r="D42" s="72" t="s">
        <v>225</v>
      </c>
      <c r="E42" s="73" t="str">
        <f>IFERROR(VLOOKUP(D42,DATOS!E:F,2,0),"-")</f>
        <v>PROY2</v>
      </c>
      <c r="F42" s="72" t="s">
        <v>179</v>
      </c>
      <c r="G42" s="73" t="str">
        <f>IFERROR(VLOOKUP(F42,DATOS!G:H,2,0),"-")</f>
        <v>C_3302_1603_12_20302B_3302071</v>
      </c>
      <c r="H42" s="72" t="s">
        <v>234</v>
      </c>
      <c r="I42" s="79" t="s">
        <v>322</v>
      </c>
      <c r="J42" s="72" t="s">
        <v>167</v>
      </c>
      <c r="K42" s="72">
        <v>1</v>
      </c>
      <c r="L42" s="76">
        <f t="shared" si="9"/>
        <v>6000000</v>
      </c>
      <c r="M42" s="72">
        <v>1</v>
      </c>
      <c r="N42" s="192">
        <f t="shared" si="1"/>
        <v>6000000</v>
      </c>
      <c r="O42" s="87"/>
      <c r="P42" s="87">
        <v>6000000</v>
      </c>
      <c r="Q42" s="87"/>
      <c r="R42" s="87"/>
      <c r="S42" s="150">
        <f>IF(D42="","-",VLOOKUP(D42,DATOS!$B$47:$C$48,2,0)-SUMIFS(P$2:P42,D$2:D42,D42))</f>
        <v>4030466299</v>
      </c>
      <c r="T42" s="150">
        <f>IF(D42="","-",VLOOKUP(D42,DATOS!$B$47:$D$48,3,0)-SUMIFS(Q$2:Q42,D$2:D42,D42))</f>
        <v>3373198303</v>
      </c>
      <c r="U42" s="150">
        <f>IF(D42="","-",VLOOKUP(D42,DATOS!$B$47:$E$48,4,0)-SUMIFS(R$2:R42,D$2:D42,D42))</f>
        <v>743885885</v>
      </c>
      <c r="V42" s="150">
        <f>IF(H42="","-",VLOOKUP(H42,DATOS!$D$52:$E$75,2,0)-SUMIFS(N$2:N42,H$2:H42,H42))</f>
        <v>0</v>
      </c>
      <c r="W42" s="79"/>
      <c r="X42" s="79"/>
      <c r="Y42" s="72">
        <v>80111601</v>
      </c>
      <c r="Z42" s="166" t="str">
        <f t="shared" si="12"/>
        <v>Adquirir tonner. SEL06</v>
      </c>
      <c r="AA42" s="71" t="s">
        <v>278</v>
      </c>
      <c r="AB42" s="71" t="s">
        <v>278</v>
      </c>
      <c r="AC42" s="71">
        <v>1</v>
      </c>
      <c r="AD42" s="71" t="s">
        <v>271</v>
      </c>
      <c r="AE42" s="72" t="str">
        <f t="shared" si="3"/>
        <v>Mínima cuantía</v>
      </c>
      <c r="AF42" s="72" t="str">
        <f t="shared" si="11"/>
        <v>Nación</v>
      </c>
      <c r="AG42" s="167">
        <f t="shared" si="14"/>
        <v>6000000</v>
      </c>
      <c r="AH42" s="167">
        <f t="shared" si="13"/>
        <v>6000000</v>
      </c>
      <c r="AI42" s="71" t="s">
        <v>272</v>
      </c>
      <c r="AJ42" s="71" t="s">
        <v>273</v>
      </c>
      <c r="AK42" s="72" t="s">
        <v>274</v>
      </c>
      <c r="AL42" s="71" t="s">
        <v>275</v>
      </c>
      <c r="AM42" s="79" t="s">
        <v>323</v>
      </c>
      <c r="AN42" s="89">
        <v>3282888</v>
      </c>
      <c r="AO42" s="169" t="s">
        <v>276</v>
      </c>
    </row>
    <row r="43" spans="1:41" s="88" customFormat="1" ht="96" customHeight="1" x14ac:dyDescent="0.3">
      <c r="A43" s="79" t="s">
        <v>316</v>
      </c>
      <c r="B43" s="72" t="s">
        <v>214</v>
      </c>
      <c r="C43" s="72" t="s">
        <v>198</v>
      </c>
      <c r="D43" s="72" t="s">
        <v>225</v>
      </c>
      <c r="E43" s="73" t="str">
        <f>IFERROR(VLOOKUP(D43,DATOS!E:F,2,0),"-")</f>
        <v>PROY2</v>
      </c>
      <c r="F43" s="72" t="s">
        <v>179</v>
      </c>
      <c r="G43" s="73" t="str">
        <f>IFERROR(VLOOKUP(F43,DATOS!G:H,2,0),"-")</f>
        <v>C_3302_1603_12_20302B_3302071</v>
      </c>
      <c r="H43" s="79" t="s">
        <v>235</v>
      </c>
      <c r="I43" s="79" t="s">
        <v>783</v>
      </c>
      <c r="J43" s="72" t="s">
        <v>161</v>
      </c>
      <c r="K43" s="79">
        <v>1</v>
      </c>
      <c r="L43" s="76">
        <f t="shared" si="9"/>
        <v>85000000</v>
      </c>
      <c r="M43" s="72">
        <v>1</v>
      </c>
      <c r="N43" s="192">
        <f t="shared" si="1"/>
        <v>85000000</v>
      </c>
      <c r="O43" s="87"/>
      <c r="P43" s="87">
        <f>3750000+81250000</f>
        <v>85000000</v>
      </c>
      <c r="Q43" s="87"/>
      <c r="R43" s="87"/>
      <c r="S43" s="150">
        <f>IF(D43="","-",VLOOKUP(D43,DATOS!$B$47:$C$48,2,0)-SUMIFS(P$2:P43,D$2:D43,D43))</f>
        <v>3945466299</v>
      </c>
      <c r="T43" s="150">
        <f>IF(D43="","-",VLOOKUP(D43,DATOS!$B$47:$D$48,3,0)-SUMIFS(Q$2:Q43,D$2:D43,D43))</f>
        <v>3373198303</v>
      </c>
      <c r="U43" s="150">
        <f>IF(D43="","-",VLOOKUP(D43,DATOS!$B$47:$E$48,4,0)-SUMIFS(R$2:R43,D$2:D43,D43))</f>
        <v>743885885</v>
      </c>
      <c r="V43" s="150">
        <f>IF(H43="","-",VLOOKUP(H43,DATOS!$D$52:$E$75,2,0)-SUMIFS(N$2:N43,H$2:H43,H43))</f>
        <v>2925466299</v>
      </c>
      <c r="W43" s="79"/>
      <c r="X43" s="79"/>
      <c r="Y43" s="72">
        <v>80111601</v>
      </c>
      <c r="Z43" s="166" t="str">
        <f t="shared" si="12"/>
        <v xml:space="preserve"> Prestación de Servicios Profesionales para la Planeación y seguimiento a la ejecución del diagnostico del proyecto del archivo del extinto DAS en custodia y conservación del AGN-Cumplimiento al AUTO OPV 182 de 2023. SEL07</v>
      </c>
      <c r="AA43" s="71" t="s">
        <v>292</v>
      </c>
      <c r="AB43" s="71" t="s">
        <v>292</v>
      </c>
      <c r="AC43" s="71">
        <v>11</v>
      </c>
      <c r="AD43" s="71" t="s">
        <v>271</v>
      </c>
      <c r="AE43" s="72" t="str">
        <f t="shared" si="3"/>
        <v>Contratación directa</v>
      </c>
      <c r="AF43" s="72" t="str">
        <f t="shared" si="11"/>
        <v>Nación</v>
      </c>
      <c r="AG43" s="167">
        <f t="shared" si="14"/>
        <v>85000000</v>
      </c>
      <c r="AH43" s="167">
        <f t="shared" si="13"/>
        <v>85000000</v>
      </c>
      <c r="AI43" s="71" t="s">
        <v>272</v>
      </c>
      <c r="AJ43" s="71" t="s">
        <v>273</v>
      </c>
      <c r="AK43" s="72" t="s">
        <v>274</v>
      </c>
      <c r="AL43" s="71" t="s">
        <v>275</v>
      </c>
      <c r="AM43" s="79" t="s">
        <v>323</v>
      </c>
      <c r="AN43" s="89">
        <v>3282888</v>
      </c>
      <c r="AO43" s="169" t="s">
        <v>276</v>
      </c>
    </row>
    <row r="44" spans="1:41" s="88" customFormat="1" ht="96" customHeight="1" x14ac:dyDescent="0.3">
      <c r="A44" s="79" t="s">
        <v>496</v>
      </c>
      <c r="B44" s="72" t="s">
        <v>214</v>
      </c>
      <c r="C44" s="72" t="s">
        <v>198</v>
      </c>
      <c r="D44" s="72" t="s">
        <v>225</v>
      </c>
      <c r="E44" s="73" t="str">
        <f>IFERROR(VLOOKUP(D44,DATOS!E:F,2,0),"-")</f>
        <v>PROY2</v>
      </c>
      <c r="F44" s="72" t="s">
        <v>179</v>
      </c>
      <c r="G44" s="73" t="str">
        <f>IFERROR(VLOOKUP(F44,DATOS!G:H,2,0),"-")</f>
        <v>C_3302_1603_12_20302B_3302071</v>
      </c>
      <c r="H44" s="79" t="s">
        <v>235</v>
      </c>
      <c r="I44" s="79" t="s">
        <v>514</v>
      </c>
      <c r="J44" s="72" t="s">
        <v>161</v>
      </c>
      <c r="K44" s="79">
        <v>1</v>
      </c>
      <c r="L44" s="76">
        <f t="shared" si="9"/>
        <v>350479773</v>
      </c>
      <c r="M44" s="72">
        <v>1</v>
      </c>
      <c r="N44" s="192">
        <f t="shared" si="1"/>
        <v>350479773</v>
      </c>
      <c r="O44" s="87"/>
      <c r="P44" s="87">
        <v>350479773</v>
      </c>
      <c r="Q44" s="87"/>
      <c r="R44" s="87"/>
      <c r="S44" s="150">
        <f>IF(D44="","-",VLOOKUP(D44,DATOS!$B$47:$C$48,2,0)-SUMIFS(P$2:P44,D$2:D44,D44))</f>
        <v>3594986526</v>
      </c>
      <c r="T44" s="150">
        <f>IF(D44="","-",VLOOKUP(D44,DATOS!$B$47:$D$48,3,0)-SUMIFS(Q$2:Q44,D$2:D44,D44))</f>
        <v>3373198303</v>
      </c>
      <c r="U44" s="150">
        <f>IF(D44="","-",VLOOKUP(D44,DATOS!$B$47:$E$48,4,0)-SUMIFS(R$2:R44,D$2:D44,D44))</f>
        <v>743885885</v>
      </c>
      <c r="V44" s="150">
        <f>IF(H44="","-",VLOOKUP(H44,DATOS!$D$52:$E$75,2,0)-SUMIFS(N$2:N44,H$2:H44,H44))</f>
        <v>2574986526</v>
      </c>
      <c r="W44" s="79"/>
      <c r="X44" s="79"/>
      <c r="Y44" s="72">
        <v>80111601</v>
      </c>
      <c r="Z44" s="166" t="str">
        <f t="shared" si="12"/>
        <v>Seguros y polizas. SEL08</v>
      </c>
      <c r="AA44" s="71" t="s">
        <v>278</v>
      </c>
      <c r="AB44" s="71" t="s">
        <v>278</v>
      </c>
      <c r="AC44" s="79">
        <v>1</v>
      </c>
      <c r="AD44" s="71" t="s">
        <v>271</v>
      </c>
      <c r="AE44" s="72" t="str">
        <f t="shared" si="3"/>
        <v>Contratación directa</v>
      </c>
      <c r="AF44" s="72" t="str">
        <f t="shared" ref="AF44:AF61" si="29">IF(SUM(O44:R44)=0,"-",IF(SUM(O44:P44)&gt;=SUM(Q44:R44),"Nación","Propios"))</f>
        <v>Nación</v>
      </c>
      <c r="AG44" s="167">
        <f t="shared" ref="AG44:AG61" si="30">AH44</f>
        <v>350479773</v>
      </c>
      <c r="AH44" s="167">
        <f t="shared" si="13"/>
        <v>350479773</v>
      </c>
      <c r="AI44" s="71" t="s">
        <v>272</v>
      </c>
      <c r="AJ44" s="71" t="s">
        <v>273</v>
      </c>
      <c r="AK44" s="72" t="s">
        <v>274</v>
      </c>
      <c r="AL44" s="71" t="s">
        <v>275</v>
      </c>
      <c r="AM44" s="79" t="s">
        <v>323</v>
      </c>
      <c r="AN44" s="89">
        <v>3282888</v>
      </c>
      <c r="AO44" s="169" t="s">
        <v>276</v>
      </c>
    </row>
    <row r="45" spans="1:41" s="88" customFormat="1" ht="96" customHeight="1" x14ac:dyDescent="0.3">
      <c r="A45" s="79" t="s">
        <v>497</v>
      </c>
      <c r="B45" s="72" t="s">
        <v>214</v>
      </c>
      <c r="C45" s="72" t="s">
        <v>198</v>
      </c>
      <c r="D45" s="72" t="s">
        <v>225</v>
      </c>
      <c r="E45" s="73" t="str">
        <f>IFERROR(VLOOKUP(D45,DATOS!E:F,2,0),"-")</f>
        <v>PROY2</v>
      </c>
      <c r="F45" s="72" t="s">
        <v>179</v>
      </c>
      <c r="G45" s="73" t="str">
        <f>IFERROR(VLOOKUP(F45,DATOS!G:H,2,0),"-")</f>
        <v>C_3302_1603_12_20302B_3302071</v>
      </c>
      <c r="H45" s="79" t="s">
        <v>235</v>
      </c>
      <c r="I45" s="79" t="s">
        <v>515</v>
      </c>
      <c r="J45" s="72" t="s">
        <v>161</v>
      </c>
      <c r="K45" s="79">
        <v>1</v>
      </c>
      <c r="L45" s="76">
        <f t="shared" si="9"/>
        <v>9049333</v>
      </c>
      <c r="M45" s="72">
        <v>1</v>
      </c>
      <c r="N45" s="192">
        <f t="shared" si="1"/>
        <v>9049333</v>
      </c>
      <c r="O45" s="87"/>
      <c r="P45" s="87">
        <v>9049333</v>
      </c>
      <c r="Q45" s="87"/>
      <c r="R45" s="87"/>
      <c r="S45" s="150">
        <f>IF(D45="","-",VLOOKUP(D45,DATOS!$B$47:$C$48,2,0)-SUMIFS(P$2:P45,D$2:D45,D45))</f>
        <v>3585937193</v>
      </c>
      <c r="T45" s="150">
        <f>IF(D45="","-",VLOOKUP(D45,DATOS!$B$47:$D$48,3,0)-SUMIFS(Q$2:Q45,D$2:D45,D45))</f>
        <v>3373198303</v>
      </c>
      <c r="U45" s="150">
        <f>IF(D45="","-",VLOOKUP(D45,DATOS!$B$47:$E$48,4,0)-SUMIFS(R$2:R45,D$2:D45,D45))</f>
        <v>743885885</v>
      </c>
      <c r="V45" s="150">
        <f>IF(H45="","-",VLOOKUP(H45,DATOS!$D$52:$E$75,2,0)-SUMIFS(N$2:N45,H$2:H45,H45))</f>
        <v>2565937193</v>
      </c>
      <c r="W45" s="79"/>
      <c r="X45" s="79"/>
      <c r="Y45" s="72">
        <v>80111601</v>
      </c>
      <c r="Z45" s="166" t="str">
        <f t="shared" si="12"/>
        <v>Contrar los servicios de mediciones de condiciones ambientales en el fondo docuemntal del extinto DAS en custpodia del AGN. SEL09</v>
      </c>
      <c r="AA45" s="71" t="s">
        <v>278</v>
      </c>
      <c r="AB45" s="71" t="s">
        <v>278</v>
      </c>
      <c r="AC45" s="79">
        <v>1</v>
      </c>
      <c r="AD45" s="71" t="s">
        <v>271</v>
      </c>
      <c r="AE45" s="72" t="str">
        <f t="shared" si="3"/>
        <v>Contratación directa</v>
      </c>
      <c r="AF45" s="72" t="str">
        <f t="shared" si="29"/>
        <v>Nación</v>
      </c>
      <c r="AG45" s="167">
        <f t="shared" si="30"/>
        <v>9049333</v>
      </c>
      <c r="AH45" s="167">
        <f t="shared" si="13"/>
        <v>9049333</v>
      </c>
      <c r="AI45" s="71" t="s">
        <v>272</v>
      </c>
      <c r="AJ45" s="71" t="s">
        <v>273</v>
      </c>
      <c r="AK45" s="72" t="s">
        <v>274</v>
      </c>
      <c r="AL45" s="71" t="s">
        <v>275</v>
      </c>
      <c r="AM45" s="79" t="s">
        <v>323</v>
      </c>
      <c r="AN45" s="89">
        <v>3282888</v>
      </c>
      <c r="AO45" s="169" t="s">
        <v>276</v>
      </c>
    </row>
    <row r="46" spans="1:41" s="88" customFormat="1" ht="96" customHeight="1" x14ac:dyDescent="0.3">
      <c r="A46" s="79" t="s">
        <v>498</v>
      </c>
      <c r="B46" s="72" t="s">
        <v>214</v>
      </c>
      <c r="C46" s="72" t="s">
        <v>198</v>
      </c>
      <c r="D46" s="72" t="s">
        <v>225</v>
      </c>
      <c r="E46" s="73" t="str">
        <f>IFERROR(VLOOKUP(D46,DATOS!E:F,2,0),"-")</f>
        <v>PROY2</v>
      </c>
      <c r="F46" s="72" t="s">
        <v>179</v>
      </c>
      <c r="G46" s="73" t="str">
        <f>IFERROR(VLOOKUP(F46,DATOS!G:H,2,0),"-")</f>
        <v>C_3302_1603_12_20302B_3302071</v>
      </c>
      <c r="H46" s="79" t="s">
        <v>235</v>
      </c>
      <c r="I46" s="79" t="s">
        <v>516</v>
      </c>
      <c r="J46" s="72" t="s">
        <v>161</v>
      </c>
      <c r="K46" s="79">
        <v>5</v>
      </c>
      <c r="L46" s="76">
        <f t="shared" si="9"/>
        <v>4500000</v>
      </c>
      <c r="M46" s="72">
        <v>1</v>
      </c>
      <c r="N46" s="192">
        <f t="shared" si="1"/>
        <v>22500000</v>
      </c>
      <c r="O46" s="87"/>
      <c r="P46" s="87">
        <v>22500000</v>
      </c>
      <c r="Q46" s="87"/>
      <c r="R46" s="87"/>
      <c r="S46" s="150">
        <f>IF(D46="","-",VLOOKUP(D46,DATOS!$B$47:$C$48,2,0)-SUMIFS(P$2:P46,D$2:D46,D46))</f>
        <v>3563437193</v>
      </c>
      <c r="T46" s="150">
        <f>IF(D46="","-",VLOOKUP(D46,DATOS!$B$47:$D$48,3,0)-SUMIFS(Q$2:Q46,D$2:D46,D46))</f>
        <v>3373198303</v>
      </c>
      <c r="U46" s="150">
        <f>IF(D46="","-",VLOOKUP(D46,DATOS!$B$47:$E$48,4,0)-SUMIFS(R$2:R46,D$2:D46,D46))</f>
        <v>743885885</v>
      </c>
      <c r="V46" s="150">
        <f>IF(H46="","-",VLOOKUP(H46,DATOS!$D$52:$E$75,2,0)-SUMIFS(N$2:N46,H$2:H46,H46))</f>
        <v>2543437193</v>
      </c>
      <c r="W46" s="79"/>
      <c r="X46" s="79"/>
      <c r="Y46" s="72">
        <v>80111601</v>
      </c>
      <c r="Z46" s="166" t="str">
        <f t="shared" si="12"/>
        <v>Prestación de Servicios Profesionales para liderar el desarrollo del diagnóstico integral de documentos en papel (Cumplimiento al AUTO OPV 182 de 2023). SEL10</v>
      </c>
      <c r="AA46" s="71" t="s">
        <v>278</v>
      </c>
      <c r="AB46" s="71" t="s">
        <v>278</v>
      </c>
      <c r="AC46" s="79">
        <v>1</v>
      </c>
      <c r="AD46" s="71" t="s">
        <v>271</v>
      </c>
      <c r="AE46" s="72" t="str">
        <f t="shared" si="3"/>
        <v>Contratación directa</v>
      </c>
      <c r="AF46" s="72" t="str">
        <f t="shared" si="29"/>
        <v>Nación</v>
      </c>
      <c r="AG46" s="167">
        <f t="shared" si="30"/>
        <v>22500000</v>
      </c>
      <c r="AH46" s="167">
        <f t="shared" si="13"/>
        <v>22500000</v>
      </c>
      <c r="AI46" s="71" t="s">
        <v>272</v>
      </c>
      <c r="AJ46" s="71" t="s">
        <v>273</v>
      </c>
      <c r="AK46" s="72" t="s">
        <v>274</v>
      </c>
      <c r="AL46" s="71" t="s">
        <v>275</v>
      </c>
      <c r="AM46" s="79" t="s">
        <v>323</v>
      </c>
      <c r="AN46" s="89">
        <v>3282888</v>
      </c>
      <c r="AO46" s="169" t="s">
        <v>276</v>
      </c>
    </row>
    <row r="47" spans="1:41" s="88" customFormat="1" ht="96" customHeight="1" x14ac:dyDescent="0.3">
      <c r="A47" s="79" t="s">
        <v>499</v>
      </c>
      <c r="B47" s="72" t="s">
        <v>214</v>
      </c>
      <c r="C47" s="72" t="s">
        <v>198</v>
      </c>
      <c r="D47" s="72" t="s">
        <v>225</v>
      </c>
      <c r="E47" s="73" t="str">
        <f>IFERROR(VLOOKUP(D47,DATOS!E:F,2,0),"-")</f>
        <v>PROY2</v>
      </c>
      <c r="F47" s="72" t="s">
        <v>179</v>
      </c>
      <c r="G47" s="73" t="str">
        <f>IFERROR(VLOOKUP(F47,DATOS!G:H,2,0),"-")</f>
        <v>C_3302_1603_12_20302B_3302071</v>
      </c>
      <c r="H47" s="79" t="s">
        <v>235</v>
      </c>
      <c r="I47" s="79" t="s">
        <v>517</v>
      </c>
      <c r="J47" s="72" t="s">
        <v>161</v>
      </c>
      <c r="K47" s="79">
        <v>5</v>
      </c>
      <c r="L47" s="76">
        <f t="shared" si="9"/>
        <v>6000000</v>
      </c>
      <c r="M47" s="72">
        <v>2</v>
      </c>
      <c r="N47" s="192">
        <f t="shared" si="1"/>
        <v>60000000</v>
      </c>
      <c r="O47" s="87"/>
      <c r="P47" s="87">
        <v>60000000</v>
      </c>
      <c r="Q47" s="87"/>
      <c r="R47" s="87"/>
      <c r="S47" s="150">
        <f>IF(D47="","-",VLOOKUP(D47,DATOS!$B$47:$C$48,2,0)-SUMIFS(P$2:P47,D$2:D47,D47))</f>
        <v>3503437193</v>
      </c>
      <c r="T47" s="150">
        <f>IF(D47="","-",VLOOKUP(D47,DATOS!$B$47:$D$48,3,0)-SUMIFS(Q$2:Q47,D$2:D47,D47))</f>
        <v>3373198303</v>
      </c>
      <c r="U47" s="150">
        <f>IF(D47="","-",VLOOKUP(D47,DATOS!$B$47:$E$48,4,0)-SUMIFS(R$2:R47,D$2:D47,D47))</f>
        <v>743885885</v>
      </c>
      <c r="V47" s="150">
        <f>IF(H47="","-",VLOOKUP(H47,DATOS!$D$52:$E$75,2,0)-SUMIFS(N$2:N47,H$2:H47,H47))</f>
        <v>2483437193</v>
      </c>
      <c r="W47" s="79"/>
      <c r="X47" s="79"/>
      <c r="Y47" s="72">
        <v>80111601</v>
      </c>
      <c r="Z47" s="166" t="str">
        <f t="shared" si="12"/>
        <v>Prestación de Servicios Profesionales en Archivística para el diangóstico integral de los documentos en papel del extinto DAS. SEL11</v>
      </c>
      <c r="AA47" s="71" t="s">
        <v>278</v>
      </c>
      <c r="AB47" s="71" t="s">
        <v>278</v>
      </c>
      <c r="AC47" s="79">
        <v>5</v>
      </c>
      <c r="AD47" s="71" t="s">
        <v>271</v>
      </c>
      <c r="AE47" s="72" t="str">
        <f t="shared" si="3"/>
        <v>Contratación directa</v>
      </c>
      <c r="AF47" s="72" t="str">
        <f t="shared" si="29"/>
        <v>Nación</v>
      </c>
      <c r="AG47" s="167">
        <f t="shared" si="30"/>
        <v>60000000</v>
      </c>
      <c r="AH47" s="167">
        <f t="shared" si="13"/>
        <v>60000000</v>
      </c>
      <c r="AI47" s="71" t="s">
        <v>272</v>
      </c>
      <c r="AJ47" s="71" t="s">
        <v>273</v>
      </c>
      <c r="AK47" s="72" t="s">
        <v>274</v>
      </c>
      <c r="AL47" s="71" t="s">
        <v>275</v>
      </c>
      <c r="AM47" s="79" t="s">
        <v>323</v>
      </c>
      <c r="AN47" s="89">
        <v>3282888</v>
      </c>
      <c r="AO47" s="169" t="s">
        <v>276</v>
      </c>
    </row>
    <row r="48" spans="1:41" s="88" customFormat="1" ht="96" customHeight="1" x14ac:dyDescent="0.3">
      <c r="A48" s="79" t="s">
        <v>500</v>
      </c>
      <c r="B48" s="72" t="s">
        <v>214</v>
      </c>
      <c r="C48" s="72" t="s">
        <v>198</v>
      </c>
      <c r="D48" s="72" t="s">
        <v>225</v>
      </c>
      <c r="E48" s="73" t="str">
        <f>IFERROR(VLOOKUP(D48,DATOS!E:F,2,0),"-")</f>
        <v>PROY2</v>
      </c>
      <c r="F48" s="72" t="s">
        <v>179</v>
      </c>
      <c r="G48" s="73" t="str">
        <f>IFERROR(VLOOKUP(F48,DATOS!G:H,2,0),"-")</f>
        <v>C_3302_1603_12_20302B_3302071</v>
      </c>
      <c r="H48" s="79" t="s">
        <v>235</v>
      </c>
      <c r="I48" s="79" t="s">
        <v>518</v>
      </c>
      <c r="J48" s="72" t="s">
        <v>161</v>
      </c>
      <c r="K48" s="79">
        <v>5</v>
      </c>
      <c r="L48" s="76">
        <f t="shared" si="9"/>
        <v>3500000</v>
      </c>
      <c r="M48" s="72">
        <v>13</v>
      </c>
      <c r="N48" s="192">
        <f t="shared" si="1"/>
        <v>227500000</v>
      </c>
      <c r="O48" s="87"/>
      <c r="P48" s="87">
        <v>227500000</v>
      </c>
      <c r="Q48" s="87"/>
      <c r="R48" s="87"/>
      <c r="S48" s="150">
        <f>IF(D48="","-",VLOOKUP(D48,DATOS!$B$47:$C$48,2,0)-SUMIFS(P$2:P48,D$2:D48,D48))</f>
        <v>3275937193</v>
      </c>
      <c r="T48" s="150">
        <f>IF(D48="","-",VLOOKUP(D48,DATOS!$B$47:$D$48,3,0)-SUMIFS(Q$2:Q48,D$2:D48,D48))</f>
        <v>3373198303</v>
      </c>
      <c r="U48" s="150">
        <f>IF(D48="","-",VLOOKUP(D48,DATOS!$B$47:$E$48,4,0)-SUMIFS(R$2:R48,D$2:D48,D48))</f>
        <v>743885885</v>
      </c>
      <c r="V48" s="150">
        <f>IF(H48="","-",VLOOKUP(H48,DATOS!$D$52:$E$75,2,0)-SUMIFS(N$2:N48,H$2:H48,H48))</f>
        <v>2255937193</v>
      </c>
      <c r="W48" s="79"/>
      <c r="X48" s="79"/>
      <c r="Y48" s="72">
        <v>80111601</v>
      </c>
      <c r="Z48" s="166" t="str">
        <f t="shared" si="12"/>
        <v>Prestación de Servicios técnicos en archivística para el diangóstico integral de los documentos en papel del extinto DAS. SEL12</v>
      </c>
      <c r="AA48" s="71" t="s">
        <v>278</v>
      </c>
      <c r="AB48" s="71" t="s">
        <v>278</v>
      </c>
      <c r="AC48" s="79">
        <v>5</v>
      </c>
      <c r="AD48" s="71" t="s">
        <v>271</v>
      </c>
      <c r="AE48" s="72" t="str">
        <f t="shared" si="3"/>
        <v>Contratación directa</v>
      </c>
      <c r="AF48" s="72" t="str">
        <f t="shared" si="29"/>
        <v>Nación</v>
      </c>
      <c r="AG48" s="167">
        <f t="shared" si="30"/>
        <v>227500000</v>
      </c>
      <c r="AH48" s="167">
        <f t="shared" si="13"/>
        <v>227500000</v>
      </c>
      <c r="AI48" s="71" t="s">
        <v>272</v>
      </c>
      <c r="AJ48" s="71" t="s">
        <v>273</v>
      </c>
      <c r="AK48" s="72" t="s">
        <v>274</v>
      </c>
      <c r="AL48" s="71" t="s">
        <v>275</v>
      </c>
      <c r="AM48" s="79" t="s">
        <v>323</v>
      </c>
      <c r="AN48" s="89">
        <v>3282888</v>
      </c>
      <c r="AO48" s="169" t="s">
        <v>276</v>
      </c>
    </row>
    <row r="49" spans="1:41" s="88" customFormat="1" ht="96" customHeight="1" x14ac:dyDescent="0.3">
      <c r="A49" s="79" t="s">
        <v>501</v>
      </c>
      <c r="B49" s="72" t="s">
        <v>214</v>
      </c>
      <c r="C49" s="72" t="s">
        <v>198</v>
      </c>
      <c r="D49" s="72" t="s">
        <v>225</v>
      </c>
      <c r="E49" s="73" t="str">
        <f>IFERROR(VLOOKUP(D49,DATOS!E:F,2,0),"-")</f>
        <v>PROY2</v>
      </c>
      <c r="F49" s="72" t="s">
        <v>179</v>
      </c>
      <c r="G49" s="73" t="str">
        <f>IFERROR(VLOOKUP(F49,DATOS!G:H,2,0),"-")</f>
        <v>C_3302_1603_12_20302B_3302071</v>
      </c>
      <c r="H49" s="79" t="s">
        <v>235</v>
      </c>
      <c r="I49" s="79" t="s">
        <v>631</v>
      </c>
      <c r="J49" s="72" t="s">
        <v>161</v>
      </c>
      <c r="K49" s="79">
        <v>1</v>
      </c>
      <c r="L49" s="76">
        <f t="shared" si="9"/>
        <v>2400000</v>
      </c>
      <c r="M49" s="72">
        <v>1</v>
      </c>
      <c r="N49" s="192">
        <f t="shared" si="1"/>
        <v>2400000</v>
      </c>
      <c r="O49" s="87"/>
      <c r="P49" s="87">
        <v>2400000</v>
      </c>
      <c r="Q49" s="87"/>
      <c r="R49" s="87"/>
      <c r="S49" s="150">
        <f>IF(D49="","-",VLOOKUP(D49,DATOS!$B$47:$C$48,2,0)-SUMIFS(P$2:P49,D$2:D49,D49))</f>
        <v>3273537193</v>
      </c>
      <c r="T49" s="150">
        <f>IF(D49="","-",VLOOKUP(D49,DATOS!$B$47:$D$48,3,0)-SUMIFS(Q$2:Q49,D$2:D49,D49))</f>
        <v>3373198303</v>
      </c>
      <c r="U49" s="150">
        <f>IF(D49="","-",VLOOKUP(D49,DATOS!$B$47:$E$48,4,0)-SUMIFS(R$2:R49,D$2:D49,D49))</f>
        <v>743885885</v>
      </c>
      <c r="V49" s="150">
        <f>IF(H49="","-",VLOOKUP(H49,DATOS!$D$52:$E$75,2,0)-SUMIFS(N$2:N49,H$2:H49,H49))</f>
        <v>2253537193</v>
      </c>
      <c r="W49" s="79"/>
      <c r="X49" s="71" t="s">
        <v>295</v>
      </c>
      <c r="Y49" s="72"/>
      <c r="Z49" s="166"/>
      <c r="AA49" s="71"/>
      <c r="AB49" s="71"/>
      <c r="AC49" s="79"/>
      <c r="AD49" s="71"/>
      <c r="AE49" s="72"/>
      <c r="AF49" s="72"/>
      <c r="AG49" s="167"/>
      <c r="AH49" s="167"/>
      <c r="AI49" s="71"/>
      <c r="AJ49" s="71"/>
      <c r="AK49" s="72"/>
      <c r="AL49" s="71"/>
      <c r="AM49" s="79"/>
      <c r="AN49" s="89"/>
      <c r="AO49" s="169"/>
    </row>
    <row r="50" spans="1:41" s="88" customFormat="1" ht="96" customHeight="1" x14ac:dyDescent="0.3">
      <c r="A50" s="79" t="s">
        <v>502</v>
      </c>
      <c r="B50" s="72" t="s">
        <v>214</v>
      </c>
      <c r="C50" s="72" t="s">
        <v>198</v>
      </c>
      <c r="D50" s="72" t="s">
        <v>225</v>
      </c>
      <c r="E50" s="73" t="str">
        <f>IFERROR(VLOOKUP(D50,DATOS!E:F,2,0),"-")</f>
        <v>PROY2</v>
      </c>
      <c r="F50" s="72" t="s">
        <v>179</v>
      </c>
      <c r="G50" s="73" t="str">
        <f>IFERROR(VLOOKUP(F50,DATOS!G:H,2,0),"-")</f>
        <v>C_3302_1603_12_20302B_3302071</v>
      </c>
      <c r="H50" s="79" t="s">
        <v>235</v>
      </c>
      <c r="I50" s="79" t="s">
        <v>519</v>
      </c>
      <c r="J50" s="72" t="s">
        <v>161</v>
      </c>
      <c r="K50" s="79">
        <v>1</v>
      </c>
      <c r="L50" s="76">
        <f t="shared" si="9"/>
        <v>4800000</v>
      </c>
      <c r="M50" s="72">
        <v>1</v>
      </c>
      <c r="N50" s="192">
        <f t="shared" si="1"/>
        <v>4800000</v>
      </c>
      <c r="O50" s="87"/>
      <c r="P50" s="87">
        <v>4800000</v>
      </c>
      <c r="Q50" s="87"/>
      <c r="R50" s="87"/>
      <c r="S50" s="150">
        <f>IF(D50="","-",VLOOKUP(D50,DATOS!$B$47:$C$48,2,0)-SUMIFS(P$2:P50,D$2:D50,D50))</f>
        <v>3268737193</v>
      </c>
      <c r="T50" s="150">
        <f>IF(D50="","-",VLOOKUP(D50,DATOS!$B$47:$D$48,3,0)-SUMIFS(Q$2:Q50,D$2:D50,D50))</f>
        <v>3373198303</v>
      </c>
      <c r="U50" s="150">
        <f>IF(D50="","-",VLOOKUP(D50,DATOS!$B$47:$E$48,4,0)-SUMIFS(R$2:R50,D$2:D50,D50))</f>
        <v>743885885</v>
      </c>
      <c r="V50" s="150">
        <f>IF(H50="","-",VLOOKUP(H50,DATOS!$D$52:$E$75,2,0)-SUMIFS(N$2:N50,H$2:H50,H50))</f>
        <v>2248737193</v>
      </c>
      <c r="W50" s="79"/>
      <c r="X50" s="79"/>
      <c r="Y50" s="72">
        <v>80111601</v>
      </c>
      <c r="Z50" s="166" t="str">
        <f t="shared" ref="Z50:Z86" si="31">IF(I50="","",I50)</f>
        <v>Contratar loss servicios para realziar los estudios de Seguridad del personal contratista. SEL14</v>
      </c>
      <c r="AA50" s="71" t="s">
        <v>278</v>
      </c>
      <c r="AB50" s="71" t="s">
        <v>278</v>
      </c>
      <c r="AC50" s="79">
        <v>1</v>
      </c>
      <c r="AD50" s="71" t="s">
        <v>271</v>
      </c>
      <c r="AE50" s="72" t="str">
        <f t="shared" ref="AE50:AE86" si="32">IF(J50="","",J50)</f>
        <v>Contratación directa</v>
      </c>
      <c r="AF50" s="72" t="str">
        <f t="shared" si="29"/>
        <v>Nación</v>
      </c>
      <c r="AG50" s="167">
        <f t="shared" si="30"/>
        <v>4800000</v>
      </c>
      <c r="AH50" s="167">
        <f t="shared" ref="AH50:AH86" si="33">IF(N50="","",N50)</f>
        <v>4800000</v>
      </c>
      <c r="AI50" s="71" t="s">
        <v>272</v>
      </c>
      <c r="AJ50" s="71" t="s">
        <v>273</v>
      </c>
      <c r="AK50" s="72" t="s">
        <v>274</v>
      </c>
      <c r="AL50" s="71" t="s">
        <v>275</v>
      </c>
      <c r="AM50" s="79" t="s">
        <v>323</v>
      </c>
      <c r="AN50" s="89">
        <v>3282888</v>
      </c>
      <c r="AO50" s="169" t="s">
        <v>276</v>
      </c>
    </row>
    <row r="51" spans="1:41" s="88" customFormat="1" ht="96" customHeight="1" x14ac:dyDescent="0.3">
      <c r="A51" s="79" t="s">
        <v>503</v>
      </c>
      <c r="B51" s="72" t="s">
        <v>214</v>
      </c>
      <c r="C51" s="72" t="s">
        <v>198</v>
      </c>
      <c r="D51" s="72" t="s">
        <v>225</v>
      </c>
      <c r="E51" s="73" t="str">
        <f>IFERROR(VLOOKUP(D51,DATOS!E:F,2,0),"-")</f>
        <v>PROY2</v>
      </c>
      <c r="F51" s="72" t="s">
        <v>179</v>
      </c>
      <c r="G51" s="73" t="str">
        <f>IFERROR(VLOOKUP(F51,DATOS!G:H,2,0),"-")</f>
        <v>C_3302_1603_12_20302B_3302071</v>
      </c>
      <c r="H51" s="79" t="s">
        <v>235</v>
      </c>
      <c r="I51" s="79" t="s">
        <v>520</v>
      </c>
      <c r="J51" s="72" t="s">
        <v>161</v>
      </c>
      <c r="K51" s="79">
        <v>7.7</v>
      </c>
      <c r="L51" s="76">
        <f t="shared" si="9"/>
        <v>6000000</v>
      </c>
      <c r="M51" s="72">
        <v>3</v>
      </c>
      <c r="N51" s="192">
        <f t="shared" si="1"/>
        <v>138600000</v>
      </c>
      <c r="O51" s="87"/>
      <c r="P51" s="87">
        <v>138600000</v>
      </c>
      <c r="Q51" s="87"/>
      <c r="R51" s="87"/>
      <c r="S51" s="150">
        <f>IF(D51="","-",VLOOKUP(D51,DATOS!$B$47:$C$48,2,0)-SUMIFS(P$2:P51,D$2:D51,D51))</f>
        <v>3130137193</v>
      </c>
      <c r="T51" s="150">
        <f>IF(D51="","-",VLOOKUP(D51,DATOS!$B$47:$D$48,3,0)-SUMIFS(Q$2:Q51,D$2:D51,D51))</f>
        <v>3373198303</v>
      </c>
      <c r="U51" s="150">
        <f>IF(D51="","-",VLOOKUP(D51,DATOS!$B$47:$E$48,4,0)-SUMIFS(R$2:R51,D$2:D51,D51))</f>
        <v>743885885</v>
      </c>
      <c r="V51" s="150">
        <f>IF(H51="","-",VLOOKUP(H51,DATOS!$D$52:$E$75,2,0)-SUMIFS(N$2:N51,H$2:H51,H51))</f>
        <v>2110137193</v>
      </c>
      <c r="W51" s="79"/>
      <c r="X51" s="79"/>
      <c r="Y51" s="72">
        <v>80111601</v>
      </c>
      <c r="Z51" s="166" t="str">
        <f t="shared" si="31"/>
        <v>Prestación de Servicios Profesionales en archivística para la evaluación y análisis de documentos archivísticos del fondo documental del extinto DAS en custodia y conservación del AGN (cumplimiento al AUTO OPV182 de 2023). SEL15</v>
      </c>
      <c r="AA51" s="71" t="s">
        <v>278</v>
      </c>
      <c r="AB51" s="71" t="s">
        <v>278</v>
      </c>
      <c r="AC51" s="79">
        <v>1</v>
      </c>
      <c r="AD51" s="71" t="s">
        <v>271</v>
      </c>
      <c r="AE51" s="72" t="str">
        <f t="shared" si="32"/>
        <v>Contratación directa</v>
      </c>
      <c r="AF51" s="72" t="str">
        <f t="shared" si="29"/>
        <v>Nación</v>
      </c>
      <c r="AG51" s="167">
        <f t="shared" si="30"/>
        <v>138600000</v>
      </c>
      <c r="AH51" s="167">
        <f t="shared" si="33"/>
        <v>138600000</v>
      </c>
      <c r="AI51" s="71" t="s">
        <v>272</v>
      </c>
      <c r="AJ51" s="71" t="s">
        <v>273</v>
      </c>
      <c r="AK51" s="72" t="s">
        <v>274</v>
      </c>
      <c r="AL51" s="71" t="s">
        <v>275</v>
      </c>
      <c r="AM51" s="79" t="s">
        <v>323</v>
      </c>
      <c r="AN51" s="89">
        <v>3282888</v>
      </c>
      <c r="AO51" s="169" t="s">
        <v>276</v>
      </c>
    </row>
    <row r="52" spans="1:41" s="88" customFormat="1" ht="96" customHeight="1" x14ac:dyDescent="0.3">
      <c r="A52" s="79" t="s">
        <v>504</v>
      </c>
      <c r="B52" s="72" t="s">
        <v>214</v>
      </c>
      <c r="C52" s="72" t="s">
        <v>198</v>
      </c>
      <c r="D52" s="72" t="s">
        <v>225</v>
      </c>
      <c r="E52" s="73" t="str">
        <f>IFERROR(VLOOKUP(D52,DATOS!E:F,2,0),"-")</f>
        <v>PROY2</v>
      </c>
      <c r="F52" s="72" t="s">
        <v>179</v>
      </c>
      <c r="G52" s="73" t="str">
        <f>IFERROR(VLOOKUP(F52,DATOS!G:H,2,0),"-")</f>
        <v>C_3302_1603_12_20302B_3302071</v>
      </c>
      <c r="H52" s="79" t="s">
        <v>235</v>
      </c>
      <c r="I52" s="79" t="s">
        <v>521</v>
      </c>
      <c r="J52" s="72" t="s">
        <v>161</v>
      </c>
      <c r="K52" s="79">
        <v>7.7</v>
      </c>
      <c r="L52" s="76">
        <f t="shared" si="9"/>
        <v>6000000</v>
      </c>
      <c r="M52" s="72">
        <v>3</v>
      </c>
      <c r="N52" s="192">
        <f t="shared" si="1"/>
        <v>138600000</v>
      </c>
      <c r="O52" s="87"/>
      <c r="P52" s="87">
        <v>138600000</v>
      </c>
      <c r="Q52" s="87"/>
      <c r="R52" s="87"/>
      <c r="S52" s="150">
        <f>IF(D52="","-",VLOOKUP(D52,DATOS!$B$47:$C$48,2,0)-SUMIFS(P$2:P52,D$2:D52,D52))</f>
        <v>2991537193</v>
      </c>
      <c r="T52" s="150">
        <f>IF(D52="","-",VLOOKUP(D52,DATOS!$B$47:$D$48,3,0)-SUMIFS(Q$2:Q52,D$2:D52,D52))</f>
        <v>3373198303</v>
      </c>
      <c r="U52" s="150">
        <f>IF(D52="","-",VLOOKUP(D52,DATOS!$B$47:$E$48,4,0)-SUMIFS(R$2:R52,D$2:D52,D52))</f>
        <v>743885885</v>
      </c>
      <c r="V52" s="150">
        <f>IF(H52="","-",VLOOKUP(H52,DATOS!$D$52:$E$75,2,0)-SUMIFS(N$2:N52,H$2:H52,H52))</f>
        <v>1971537193</v>
      </c>
      <c r="W52" s="79"/>
      <c r="X52" s="79"/>
      <c r="Y52" s="72">
        <v>80111601</v>
      </c>
      <c r="Z52" s="166" t="str">
        <f t="shared" si="31"/>
        <v>Prestación de Servicios Profesionales en historia para la evaluación y análisis de documentos archivísticos del fondo documental del extinto DAS en custodia y conservación del AGN (cumplimiento al AUTO OPV182 de 2023). SEL16</v>
      </c>
      <c r="AA52" s="71" t="s">
        <v>278</v>
      </c>
      <c r="AB52" s="71" t="s">
        <v>278</v>
      </c>
      <c r="AC52" s="79">
        <v>7.7</v>
      </c>
      <c r="AD52" s="71" t="s">
        <v>271</v>
      </c>
      <c r="AE52" s="72" t="str">
        <f t="shared" si="32"/>
        <v>Contratación directa</v>
      </c>
      <c r="AF52" s="72" t="str">
        <f t="shared" si="29"/>
        <v>Nación</v>
      </c>
      <c r="AG52" s="167">
        <f t="shared" si="30"/>
        <v>138600000</v>
      </c>
      <c r="AH52" s="167">
        <f t="shared" si="33"/>
        <v>138600000</v>
      </c>
      <c r="AI52" s="71" t="s">
        <v>272</v>
      </c>
      <c r="AJ52" s="71" t="s">
        <v>273</v>
      </c>
      <c r="AK52" s="72" t="s">
        <v>274</v>
      </c>
      <c r="AL52" s="71" t="s">
        <v>275</v>
      </c>
      <c r="AM52" s="79" t="s">
        <v>323</v>
      </c>
      <c r="AN52" s="89">
        <v>3282888</v>
      </c>
      <c r="AO52" s="169" t="s">
        <v>276</v>
      </c>
    </row>
    <row r="53" spans="1:41" s="88" customFormat="1" ht="96" customHeight="1" x14ac:dyDescent="0.3">
      <c r="A53" s="79" t="s">
        <v>505</v>
      </c>
      <c r="B53" s="72" t="s">
        <v>214</v>
      </c>
      <c r="C53" s="72" t="s">
        <v>198</v>
      </c>
      <c r="D53" s="72" t="s">
        <v>225</v>
      </c>
      <c r="E53" s="73" t="str">
        <f>IFERROR(VLOOKUP(D53,DATOS!E:F,2,0),"-")</f>
        <v>PROY2</v>
      </c>
      <c r="F53" s="72" t="s">
        <v>179</v>
      </c>
      <c r="G53" s="73" t="str">
        <f>IFERROR(VLOOKUP(F53,DATOS!G:H,2,0),"-")</f>
        <v>C_3302_1603_12_20302B_3302071</v>
      </c>
      <c r="H53" s="79" t="s">
        <v>235</v>
      </c>
      <c r="I53" s="79" t="s">
        <v>522</v>
      </c>
      <c r="J53" s="72" t="s">
        <v>161</v>
      </c>
      <c r="K53" s="79">
        <v>10</v>
      </c>
      <c r="L53" s="76">
        <f t="shared" si="9"/>
        <v>7500000</v>
      </c>
      <c r="M53" s="72">
        <v>1</v>
      </c>
      <c r="N53" s="192">
        <f t="shared" si="1"/>
        <v>75000000</v>
      </c>
      <c r="O53" s="87"/>
      <c r="P53" s="87">
        <v>75000000</v>
      </c>
      <c r="Q53" s="87"/>
      <c r="R53" s="87"/>
      <c r="S53" s="150">
        <f>IF(D53="","-",VLOOKUP(D53,DATOS!$B$47:$C$48,2,0)-SUMIFS(P$2:P53,D$2:D53,D53))</f>
        <v>2916537193</v>
      </c>
      <c r="T53" s="150">
        <f>IF(D53="","-",VLOOKUP(D53,DATOS!$B$47:$D$48,3,0)-SUMIFS(Q$2:Q53,D$2:D53,D53))</f>
        <v>3373198303</v>
      </c>
      <c r="U53" s="150">
        <f>IF(D53="","-",VLOOKUP(D53,DATOS!$B$47:$E$48,4,0)-SUMIFS(R$2:R53,D$2:D53,D53))</f>
        <v>743885885</v>
      </c>
      <c r="V53" s="150">
        <f>IF(H53="","-",VLOOKUP(H53,DATOS!$D$52:$E$75,2,0)-SUMIFS(N$2:N53,H$2:H53,H53))</f>
        <v>1896537193</v>
      </c>
      <c r="W53" s="79"/>
      <c r="X53" s="79"/>
      <c r="Y53" s="72">
        <v>80111601</v>
      </c>
      <c r="Z53" s="166" t="str">
        <f t="shared" si="31"/>
        <v>Prestación de Servicios Profesionales para liderar el desarrollo del diagnóstico de los medios digitales del archivo del extinto DAS en custodia y conservación del AGN (cumplimiento al AUTO OPV182 de 2023). SEL17</v>
      </c>
      <c r="AA53" s="71" t="s">
        <v>278</v>
      </c>
      <c r="AB53" s="71" t="s">
        <v>278</v>
      </c>
      <c r="AC53" s="79">
        <v>7.7</v>
      </c>
      <c r="AD53" s="71" t="s">
        <v>271</v>
      </c>
      <c r="AE53" s="72" t="str">
        <f t="shared" si="32"/>
        <v>Contratación directa</v>
      </c>
      <c r="AF53" s="72" t="str">
        <f t="shared" si="29"/>
        <v>Nación</v>
      </c>
      <c r="AG53" s="167">
        <f t="shared" si="30"/>
        <v>75000000</v>
      </c>
      <c r="AH53" s="167">
        <f t="shared" si="33"/>
        <v>75000000</v>
      </c>
      <c r="AI53" s="71" t="s">
        <v>272</v>
      </c>
      <c r="AJ53" s="71" t="s">
        <v>273</v>
      </c>
      <c r="AK53" s="72" t="s">
        <v>274</v>
      </c>
      <c r="AL53" s="71" t="s">
        <v>275</v>
      </c>
      <c r="AM53" s="79" t="s">
        <v>323</v>
      </c>
      <c r="AN53" s="89">
        <v>3282888</v>
      </c>
      <c r="AO53" s="169" t="s">
        <v>276</v>
      </c>
    </row>
    <row r="54" spans="1:41" s="88" customFormat="1" ht="96" customHeight="1" x14ac:dyDescent="0.3">
      <c r="A54" s="79" t="s">
        <v>506</v>
      </c>
      <c r="B54" s="72" t="s">
        <v>214</v>
      </c>
      <c r="C54" s="72" t="s">
        <v>198</v>
      </c>
      <c r="D54" s="72" t="s">
        <v>225</v>
      </c>
      <c r="E54" s="73" t="str">
        <f>IFERROR(VLOOKUP(D54,DATOS!E:F,2,0),"-")</f>
        <v>PROY2</v>
      </c>
      <c r="F54" s="72" t="s">
        <v>179</v>
      </c>
      <c r="G54" s="73" t="str">
        <f>IFERROR(VLOOKUP(F54,DATOS!G:H,2,0),"-")</f>
        <v>C_3302_1603_12_20302B_3302071</v>
      </c>
      <c r="H54" s="79" t="s">
        <v>235</v>
      </c>
      <c r="I54" s="79" t="s">
        <v>523</v>
      </c>
      <c r="J54" s="72" t="s">
        <v>161</v>
      </c>
      <c r="K54" s="79">
        <v>10</v>
      </c>
      <c r="L54" s="76">
        <f t="shared" si="9"/>
        <v>7700000</v>
      </c>
      <c r="M54" s="72">
        <v>1</v>
      </c>
      <c r="N54" s="192">
        <f t="shared" si="1"/>
        <v>77000000</v>
      </c>
      <c r="O54" s="87"/>
      <c r="P54" s="87">
        <v>77000000</v>
      </c>
      <c r="Q54" s="87"/>
      <c r="R54" s="87"/>
      <c r="S54" s="150">
        <f>IF(D54="","-",VLOOKUP(D54,DATOS!$B$47:$C$48,2,0)-SUMIFS(P$2:P54,D$2:D54,D54))</f>
        <v>2839537193</v>
      </c>
      <c r="T54" s="150">
        <f>IF(D54="","-",VLOOKUP(D54,DATOS!$B$47:$D$48,3,0)-SUMIFS(Q$2:Q54,D$2:D54,D54))</f>
        <v>3373198303</v>
      </c>
      <c r="U54" s="150">
        <f>IF(D54="","-",VLOOKUP(D54,DATOS!$B$47:$E$48,4,0)-SUMIFS(R$2:R54,D$2:D54,D54))</f>
        <v>743885885</v>
      </c>
      <c r="V54" s="150">
        <f>IF(H54="","-",VLOOKUP(H54,DATOS!$D$52:$E$75,2,0)-SUMIFS(N$2:N54,H$2:H54,H54))</f>
        <v>1819537193</v>
      </c>
      <c r="W54" s="79"/>
      <c r="X54" s="79"/>
      <c r="Y54" s="72">
        <v>80111601</v>
      </c>
      <c r="Z54" s="166" t="str">
        <f t="shared" si="31"/>
        <v>Prestación de Servicios Profesionales de Perito informático para el desarrollo del diagnóstico de los medios digitales del archivo del extinto DAS en custodia y conservación del AGN (cumplimiento al AUTO OPV182 de 2023). SEL18</v>
      </c>
      <c r="AA54" s="71" t="s">
        <v>278</v>
      </c>
      <c r="AB54" s="71" t="s">
        <v>278</v>
      </c>
      <c r="AC54" s="79">
        <v>10</v>
      </c>
      <c r="AD54" s="71" t="s">
        <v>271</v>
      </c>
      <c r="AE54" s="72" t="str">
        <f t="shared" si="32"/>
        <v>Contratación directa</v>
      </c>
      <c r="AF54" s="72" t="str">
        <f t="shared" si="29"/>
        <v>Nación</v>
      </c>
      <c r="AG54" s="167">
        <f t="shared" si="30"/>
        <v>77000000</v>
      </c>
      <c r="AH54" s="167">
        <f t="shared" si="33"/>
        <v>77000000</v>
      </c>
      <c r="AI54" s="71" t="s">
        <v>272</v>
      </c>
      <c r="AJ54" s="71" t="s">
        <v>273</v>
      </c>
      <c r="AK54" s="72" t="s">
        <v>274</v>
      </c>
      <c r="AL54" s="71" t="s">
        <v>275</v>
      </c>
      <c r="AM54" s="79" t="s">
        <v>323</v>
      </c>
      <c r="AN54" s="89">
        <v>3282888</v>
      </c>
      <c r="AO54" s="169" t="s">
        <v>276</v>
      </c>
    </row>
    <row r="55" spans="1:41" s="88" customFormat="1" ht="96" customHeight="1" x14ac:dyDescent="0.3">
      <c r="A55" s="79" t="s">
        <v>507</v>
      </c>
      <c r="B55" s="72" t="s">
        <v>214</v>
      </c>
      <c r="C55" s="72" t="s">
        <v>198</v>
      </c>
      <c r="D55" s="72" t="s">
        <v>225</v>
      </c>
      <c r="E55" s="73" t="str">
        <f>IFERROR(VLOOKUP(D55,DATOS!E:F,2,0),"-")</f>
        <v>PROY2</v>
      </c>
      <c r="F55" s="72" t="s">
        <v>179</v>
      </c>
      <c r="G55" s="73" t="str">
        <f>IFERROR(VLOOKUP(F55,DATOS!G:H,2,0),"-")</f>
        <v>C_3302_1603_12_20302B_3302071</v>
      </c>
      <c r="H55" s="79" t="s">
        <v>235</v>
      </c>
      <c r="I55" s="79" t="s">
        <v>524</v>
      </c>
      <c r="J55" s="72" t="s">
        <v>161</v>
      </c>
      <c r="K55" s="79">
        <v>10</v>
      </c>
      <c r="L55" s="76">
        <f t="shared" si="9"/>
        <v>6500000</v>
      </c>
      <c r="M55" s="72">
        <v>1</v>
      </c>
      <c r="N55" s="192">
        <f t="shared" si="1"/>
        <v>65000000</v>
      </c>
      <c r="O55" s="87"/>
      <c r="P55" s="87">
        <v>65000000</v>
      </c>
      <c r="Q55" s="87"/>
      <c r="R55" s="87"/>
      <c r="S55" s="150">
        <f>IF(D55="","-",VLOOKUP(D55,DATOS!$B$47:$C$48,2,0)-SUMIFS(P$2:P55,D$2:D55,D55))</f>
        <v>2774537193</v>
      </c>
      <c r="T55" s="150">
        <f>IF(D55="","-",VLOOKUP(D55,DATOS!$B$47:$D$48,3,0)-SUMIFS(Q$2:Q55,D$2:D55,D55))</f>
        <v>3373198303</v>
      </c>
      <c r="U55" s="150">
        <f>IF(D55="","-",VLOOKUP(D55,DATOS!$B$47:$E$48,4,0)-SUMIFS(R$2:R55,D$2:D55,D55))</f>
        <v>743885885</v>
      </c>
      <c r="V55" s="150">
        <f>IF(H55="","-",VLOOKUP(H55,DATOS!$D$52:$E$75,2,0)-SUMIFS(N$2:N55,H$2:H55,H55))</f>
        <v>1754537193</v>
      </c>
      <c r="W55" s="79"/>
      <c r="X55" s="79"/>
      <c r="Y55" s="72">
        <v>80111601</v>
      </c>
      <c r="Z55" s="166" t="str">
        <f t="shared" si="31"/>
        <v>Prestación de Servicios Profesionales de abogado en derecho informático para apoyar el desarrollo del diagnóstico de los medios digitales del archivo del extinto DAS en custodia y conservación del AGN (cumplimiento al AUTO OPV182 de 2023). SEL19</v>
      </c>
      <c r="AA55" s="71" t="s">
        <v>278</v>
      </c>
      <c r="AB55" s="71" t="s">
        <v>278</v>
      </c>
      <c r="AC55" s="79">
        <v>10</v>
      </c>
      <c r="AD55" s="71" t="s">
        <v>271</v>
      </c>
      <c r="AE55" s="72" t="str">
        <f t="shared" si="32"/>
        <v>Contratación directa</v>
      </c>
      <c r="AF55" s="72" t="str">
        <f t="shared" si="29"/>
        <v>Nación</v>
      </c>
      <c r="AG55" s="167">
        <f t="shared" si="30"/>
        <v>65000000</v>
      </c>
      <c r="AH55" s="167">
        <f t="shared" si="33"/>
        <v>65000000</v>
      </c>
      <c r="AI55" s="71" t="s">
        <v>272</v>
      </c>
      <c r="AJ55" s="71" t="s">
        <v>273</v>
      </c>
      <c r="AK55" s="72" t="s">
        <v>274</v>
      </c>
      <c r="AL55" s="71" t="s">
        <v>275</v>
      </c>
      <c r="AM55" s="79" t="s">
        <v>323</v>
      </c>
      <c r="AN55" s="89">
        <v>3282888</v>
      </c>
      <c r="AO55" s="169" t="s">
        <v>276</v>
      </c>
    </row>
    <row r="56" spans="1:41" s="88" customFormat="1" ht="96" customHeight="1" x14ac:dyDescent="0.3">
      <c r="A56" s="79" t="s">
        <v>508</v>
      </c>
      <c r="B56" s="72" t="s">
        <v>214</v>
      </c>
      <c r="C56" s="72" t="s">
        <v>198</v>
      </c>
      <c r="D56" s="72" t="s">
        <v>225</v>
      </c>
      <c r="E56" s="73" t="str">
        <f>IFERROR(VLOOKUP(D56,DATOS!E:F,2,0),"-")</f>
        <v>PROY2</v>
      </c>
      <c r="F56" s="72" t="s">
        <v>179</v>
      </c>
      <c r="G56" s="73" t="str">
        <f>IFERROR(VLOOKUP(F56,DATOS!G:H,2,0),"-")</f>
        <v>C_3302_1603_12_20302B_3302071</v>
      </c>
      <c r="H56" s="79" t="s">
        <v>235</v>
      </c>
      <c r="I56" s="79" t="s">
        <v>525</v>
      </c>
      <c r="J56" s="72" t="s">
        <v>161</v>
      </c>
      <c r="K56" s="79">
        <v>10</v>
      </c>
      <c r="L56" s="76">
        <f t="shared" si="9"/>
        <v>7000000</v>
      </c>
      <c r="M56" s="72">
        <v>1</v>
      </c>
      <c r="N56" s="192">
        <f t="shared" si="1"/>
        <v>70000000</v>
      </c>
      <c r="O56" s="87"/>
      <c r="P56" s="87">
        <v>70000000</v>
      </c>
      <c r="Q56" s="87"/>
      <c r="R56" s="87"/>
      <c r="S56" s="150">
        <f>IF(D56="","-",VLOOKUP(D56,DATOS!$B$47:$C$48,2,0)-SUMIFS(P$2:P56,D$2:D56,D56))</f>
        <v>2704537193</v>
      </c>
      <c r="T56" s="150">
        <f>IF(D56="","-",VLOOKUP(D56,DATOS!$B$47:$D$48,3,0)-SUMIFS(Q$2:Q56,D$2:D56,D56))</f>
        <v>3373198303</v>
      </c>
      <c r="U56" s="150">
        <f>IF(D56="","-",VLOOKUP(D56,DATOS!$B$47:$E$48,4,0)-SUMIFS(R$2:R56,D$2:D56,D56))</f>
        <v>743885885</v>
      </c>
      <c r="V56" s="150">
        <f>IF(H56="","-",VLOOKUP(H56,DATOS!$D$52:$E$75,2,0)-SUMIFS(N$2:N56,H$2:H56,H56))</f>
        <v>1684537193</v>
      </c>
      <c r="W56" s="79"/>
      <c r="X56" s="79"/>
      <c r="Y56" s="72">
        <v>80111601</v>
      </c>
      <c r="Z56" s="166" t="str">
        <f t="shared" si="31"/>
        <v>Prestación de Servicios Profesionales de ingeniero de sistemas experto en infraestructura tecnológica para apoyar el desarrollo del diagnóstico de los medios digitales del archivo del extinto DAS en custodia y conservación del AGN (cumplimiento al AUTO OPV182 de 2023). SEL20</v>
      </c>
      <c r="AA56" s="71" t="s">
        <v>278</v>
      </c>
      <c r="AB56" s="71" t="s">
        <v>278</v>
      </c>
      <c r="AC56" s="79">
        <v>10</v>
      </c>
      <c r="AD56" s="71" t="s">
        <v>271</v>
      </c>
      <c r="AE56" s="72" t="str">
        <f t="shared" si="32"/>
        <v>Contratación directa</v>
      </c>
      <c r="AF56" s="72" t="str">
        <f t="shared" si="29"/>
        <v>Nación</v>
      </c>
      <c r="AG56" s="167">
        <f t="shared" si="30"/>
        <v>70000000</v>
      </c>
      <c r="AH56" s="167">
        <f t="shared" si="33"/>
        <v>70000000</v>
      </c>
      <c r="AI56" s="71" t="s">
        <v>272</v>
      </c>
      <c r="AJ56" s="71" t="s">
        <v>273</v>
      </c>
      <c r="AK56" s="72" t="s">
        <v>274</v>
      </c>
      <c r="AL56" s="71" t="s">
        <v>275</v>
      </c>
      <c r="AM56" s="79" t="s">
        <v>323</v>
      </c>
      <c r="AN56" s="89">
        <v>3282888</v>
      </c>
      <c r="AO56" s="169" t="s">
        <v>276</v>
      </c>
    </row>
    <row r="57" spans="1:41" s="88" customFormat="1" ht="96" customHeight="1" x14ac:dyDescent="0.3">
      <c r="A57" s="79" t="s">
        <v>509</v>
      </c>
      <c r="B57" s="72" t="s">
        <v>214</v>
      </c>
      <c r="C57" s="72" t="s">
        <v>198</v>
      </c>
      <c r="D57" s="72" t="s">
        <v>225</v>
      </c>
      <c r="E57" s="73" t="str">
        <f>IFERROR(VLOOKUP(D57,DATOS!E:F,2,0),"-")</f>
        <v>PROY2</v>
      </c>
      <c r="F57" s="72" t="s">
        <v>179</v>
      </c>
      <c r="G57" s="73" t="str">
        <f>IFERROR(VLOOKUP(F57,DATOS!G:H,2,0),"-")</f>
        <v>C_3302_1603_12_20302B_3302071</v>
      </c>
      <c r="H57" s="79" t="s">
        <v>235</v>
      </c>
      <c r="I57" s="79" t="s">
        <v>526</v>
      </c>
      <c r="J57" s="72" t="s">
        <v>161</v>
      </c>
      <c r="K57" s="79">
        <v>10</v>
      </c>
      <c r="L57" s="76">
        <f t="shared" si="9"/>
        <v>6000000</v>
      </c>
      <c r="M57" s="72">
        <v>2</v>
      </c>
      <c r="N57" s="192">
        <f t="shared" si="1"/>
        <v>120000000</v>
      </c>
      <c r="O57" s="87"/>
      <c r="P57" s="87">
        <v>120000000</v>
      </c>
      <c r="Q57" s="87"/>
      <c r="R57" s="87"/>
      <c r="S57" s="150">
        <f>IF(D57="","-",VLOOKUP(D57,DATOS!$B$47:$C$48,2,0)-SUMIFS(P$2:P57,D$2:D57,D57))</f>
        <v>2584537193</v>
      </c>
      <c r="T57" s="150">
        <f>IF(D57="","-",VLOOKUP(D57,DATOS!$B$47:$D$48,3,0)-SUMIFS(Q$2:Q57,D$2:D57,D57))</f>
        <v>3373198303</v>
      </c>
      <c r="U57" s="150">
        <f>IF(D57="","-",VLOOKUP(D57,DATOS!$B$47:$E$48,4,0)-SUMIFS(R$2:R57,D$2:D57,D57))</f>
        <v>743885885</v>
      </c>
      <c r="V57" s="150">
        <f>IF(H57="","-",VLOOKUP(H57,DATOS!$D$52:$E$75,2,0)-SUMIFS(N$2:N57,H$2:H57,H57))</f>
        <v>1564537193</v>
      </c>
      <c r="W57" s="79"/>
      <c r="X57" s="79"/>
      <c r="Y57" s="72">
        <v>80111601</v>
      </c>
      <c r="Z57" s="166" t="str">
        <f t="shared" si="31"/>
        <v>Prestación de Servicios Profesionales en ingenieria de Sistemas con Experiencia en Proyectos Archivísticos para apoyar el desarrollo del diagnóstico de los medios digitales del archivo del extinto DAS en custodia y conservación del AGN (cumplimiento al AUTO OPV182 de 2023). SEL21</v>
      </c>
      <c r="AA57" s="71" t="s">
        <v>278</v>
      </c>
      <c r="AB57" s="71" t="s">
        <v>278</v>
      </c>
      <c r="AC57" s="79">
        <v>10</v>
      </c>
      <c r="AD57" s="71" t="s">
        <v>271</v>
      </c>
      <c r="AE57" s="72" t="str">
        <f t="shared" si="32"/>
        <v>Contratación directa</v>
      </c>
      <c r="AF57" s="72" t="str">
        <f t="shared" si="29"/>
        <v>Nación</v>
      </c>
      <c r="AG57" s="167">
        <f t="shared" si="30"/>
        <v>120000000</v>
      </c>
      <c r="AH57" s="167">
        <f t="shared" si="33"/>
        <v>120000000</v>
      </c>
      <c r="AI57" s="71" t="s">
        <v>272</v>
      </c>
      <c r="AJ57" s="71" t="s">
        <v>273</v>
      </c>
      <c r="AK57" s="72" t="s">
        <v>274</v>
      </c>
      <c r="AL57" s="71" t="s">
        <v>275</v>
      </c>
      <c r="AM57" s="79" t="s">
        <v>323</v>
      </c>
      <c r="AN57" s="89">
        <v>3282888</v>
      </c>
      <c r="AO57" s="169" t="s">
        <v>276</v>
      </c>
    </row>
    <row r="58" spans="1:41" s="88" customFormat="1" ht="96" customHeight="1" x14ac:dyDescent="0.3">
      <c r="A58" s="79" t="s">
        <v>510</v>
      </c>
      <c r="B58" s="72" t="s">
        <v>214</v>
      </c>
      <c r="C58" s="72" t="s">
        <v>198</v>
      </c>
      <c r="D58" s="72" t="s">
        <v>225</v>
      </c>
      <c r="E58" s="73" t="str">
        <f>IFERROR(VLOOKUP(D58,DATOS!E:F,2,0),"-")</f>
        <v>PROY2</v>
      </c>
      <c r="F58" s="72" t="s">
        <v>179</v>
      </c>
      <c r="G58" s="73" t="str">
        <f>IFERROR(VLOOKUP(F58,DATOS!G:H,2,0),"-")</f>
        <v>C_3302_1603_12_20302B_3302071</v>
      </c>
      <c r="H58" s="79" t="s">
        <v>235</v>
      </c>
      <c r="I58" s="79" t="s">
        <v>527</v>
      </c>
      <c r="J58" s="72" t="s">
        <v>161</v>
      </c>
      <c r="K58" s="79">
        <v>10</v>
      </c>
      <c r="L58" s="76">
        <f t="shared" si="9"/>
        <v>6000000</v>
      </c>
      <c r="M58" s="72">
        <v>5</v>
      </c>
      <c r="N58" s="192">
        <f t="shared" si="1"/>
        <v>300000000</v>
      </c>
      <c r="O58" s="87"/>
      <c r="P58" s="87">
        <v>300000000</v>
      </c>
      <c r="Q58" s="87"/>
      <c r="R58" s="87"/>
      <c r="S58" s="150">
        <f>IF(D58="","-",VLOOKUP(D58,DATOS!$B$47:$C$48,2,0)-SUMIFS(P$2:P58,D$2:D58,D58))</f>
        <v>2284537193</v>
      </c>
      <c r="T58" s="150">
        <f>IF(D58="","-",VLOOKUP(D58,DATOS!$B$47:$D$48,3,0)-SUMIFS(Q$2:Q58,D$2:D58,D58))</f>
        <v>3373198303</v>
      </c>
      <c r="U58" s="150">
        <f>IF(D58="","-",VLOOKUP(D58,DATOS!$B$47:$E$48,4,0)-SUMIFS(R$2:R58,D$2:D58,D58))</f>
        <v>743885885</v>
      </c>
      <c r="V58" s="150">
        <f>IF(H58="","-",VLOOKUP(H58,DATOS!$D$52:$E$75,2,0)-SUMIFS(N$2:N58,H$2:H58,H58))</f>
        <v>1264537193</v>
      </c>
      <c r="W58" s="79"/>
      <c r="X58" s="79"/>
      <c r="Y58" s="72">
        <v>80111601</v>
      </c>
      <c r="Z58" s="166" t="str">
        <f t="shared" si="31"/>
        <v>Prestación de Servicios Profesionales en archivística para apoyar el desarrollo del diagnóstico de los medios digitales del archivo del extinto DAS en custodia y conservación del AGN (cumplimiento al AUTO OPV182 de 2023). SEL22</v>
      </c>
      <c r="AA58" s="71" t="s">
        <v>278</v>
      </c>
      <c r="AB58" s="71" t="s">
        <v>278</v>
      </c>
      <c r="AC58" s="79">
        <v>10</v>
      </c>
      <c r="AD58" s="71" t="s">
        <v>271</v>
      </c>
      <c r="AE58" s="72" t="str">
        <f t="shared" si="32"/>
        <v>Contratación directa</v>
      </c>
      <c r="AF58" s="72" t="str">
        <f t="shared" si="29"/>
        <v>Nación</v>
      </c>
      <c r="AG58" s="167">
        <f t="shared" si="30"/>
        <v>300000000</v>
      </c>
      <c r="AH58" s="167">
        <f t="shared" si="33"/>
        <v>300000000</v>
      </c>
      <c r="AI58" s="71" t="s">
        <v>272</v>
      </c>
      <c r="AJ58" s="71" t="s">
        <v>273</v>
      </c>
      <c r="AK58" s="72" t="s">
        <v>274</v>
      </c>
      <c r="AL58" s="71" t="s">
        <v>275</v>
      </c>
      <c r="AM58" s="79" t="s">
        <v>323</v>
      </c>
      <c r="AN58" s="89">
        <v>3282888</v>
      </c>
      <c r="AO58" s="169" t="s">
        <v>276</v>
      </c>
    </row>
    <row r="59" spans="1:41" s="88" customFormat="1" ht="96" customHeight="1" x14ac:dyDescent="0.3">
      <c r="A59" s="79" t="s">
        <v>511</v>
      </c>
      <c r="B59" s="72" t="s">
        <v>214</v>
      </c>
      <c r="C59" s="72" t="s">
        <v>198</v>
      </c>
      <c r="D59" s="72" t="s">
        <v>225</v>
      </c>
      <c r="E59" s="73" t="str">
        <f>IFERROR(VLOOKUP(D59,DATOS!E:F,2,0),"-")</f>
        <v>PROY2</v>
      </c>
      <c r="F59" s="72" t="s">
        <v>179</v>
      </c>
      <c r="G59" s="73" t="str">
        <f>IFERROR(VLOOKUP(F59,DATOS!G:H,2,0),"-")</f>
        <v>C_3302_1603_12_20302B_3302071</v>
      </c>
      <c r="H59" s="79" t="s">
        <v>235</v>
      </c>
      <c r="I59" s="79" t="s">
        <v>528</v>
      </c>
      <c r="J59" s="72" t="s">
        <v>161</v>
      </c>
      <c r="K59" s="79">
        <v>10</v>
      </c>
      <c r="L59" s="76">
        <f t="shared" si="9"/>
        <v>3300000</v>
      </c>
      <c r="M59" s="72">
        <v>3</v>
      </c>
      <c r="N59" s="192">
        <f t="shared" si="1"/>
        <v>99000000</v>
      </c>
      <c r="O59" s="87"/>
      <c r="P59" s="87">
        <v>99000000</v>
      </c>
      <c r="Q59" s="87"/>
      <c r="R59" s="87"/>
      <c r="S59" s="150">
        <f>IF(D59="","-",VLOOKUP(D59,DATOS!$B$47:$C$48,2,0)-SUMIFS(P$2:P59,D$2:D59,D59))</f>
        <v>2185537193</v>
      </c>
      <c r="T59" s="150">
        <f>IF(D59="","-",VLOOKUP(D59,DATOS!$B$47:$D$48,3,0)-SUMIFS(Q$2:Q59,D$2:D59,D59))</f>
        <v>3373198303</v>
      </c>
      <c r="U59" s="150">
        <f>IF(D59="","-",VLOOKUP(D59,DATOS!$B$47:$E$48,4,0)-SUMIFS(R$2:R59,D$2:D59,D59))</f>
        <v>743885885</v>
      </c>
      <c r="V59" s="150">
        <f>IF(H59="","-",VLOOKUP(H59,DATOS!$D$52:$E$75,2,0)-SUMIFS(N$2:N59,H$2:H59,H59))</f>
        <v>1165537193</v>
      </c>
      <c r="W59" s="79"/>
      <c r="X59" s="79"/>
      <c r="Y59" s="72">
        <v>80111601</v>
      </c>
      <c r="Z59" s="166" t="str">
        <f t="shared" si="31"/>
        <v>Prestación de Servicios técnicos en sistemas  para apoyar el desarrollo del diagnóstico de los medios digitales del archivo del extinto DAS en custodia y conservación del AGN (cumplimiento al AUTO OPV182 de 2023). SEL23</v>
      </c>
      <c r="AA59" s="71" t="s">
        <v>278</v>
      </c>
      <c r="AB59" s="71" t="s">
        <v>278</v>
      </c>
      <c r="AC59" s="79">
        <v>10</v>
      </c>
      <c r="AD59" s="71" t="s">
        <v>271</v>
      </c>
      <c r="AE59" s="72" t="str">
        <f t="shared" si="32"/>
        <v>Contratación directa</v>
      </c>
      <c r="AF59" s="72" t="str">
        <f t="shared" si="29"/>
        <v>Nación</v>
      </c>
      <c r="AG59" s="167">
        <f t="shared" si="30"/>
        <v>99000000</v>
      </c>
      <c r="AH59" s="167">
        <f t="shared" si="33"/>
        <v>99000000</v>
      </c>
      <c r="AI59" s="71" t="s">
        <v>272</v>
      </c>
      <c r="AJ59" s="71" t="s">
        <v>273</v>
      </c>
      <c r="AK59" s="72" t="s">
        <v>274</v>
      </c>
      <c r="AL59" s="71" t="s">
        <v>275</v>
      </c>
      <c r="AM59" s="79" t="s">
        <v>323</v>
      </c>
      <c r="AN59" s="89">
        <v>3282888</v>
      </c>
      <c r="AO59" s="169" t="s">
        <v>276</v>
      </c>
    </row>
    <row r="60" spans="1:41" s="88" customFormat="1" ht="96" customHeight="1" x14ac:dyDescent="0.3">
      <c r="A60" s="79" t="s">
        <v>512</v>
      </c>
      <c r="B60" s="72" t="s">
        <v>214</v>
      </c>
      <c r="C60" s="72" t="s">
        <v>198</v>
      </c>
      <c r="D60" s="72" t="s">
        <v>225</v>
      </c>
      <c r="E60" s="73" t="str">
        <f>IFERROR(VLOOKUP(D60,DATOS!E:F,2,0),"-")</f>
        <v>PROY2</v>
      </c>
      <c r="F60" s="72" t="s">
        <v>179</v>
      </c>
      <c r="G60" s="73" t="str">
        <f>IFERROR(VLOOKUP(F60,DATOS!G:H,2,0),"-")</f>
        <v>C_3302_1603_12_20302B_3302071</v>
      </c>
      <c r="H60" s="79" t="s">
        <v>235</v>
      </c>
      <c r="I60" s="79" t="s">
        <v>529</v>
      </c>
      <c r="J60" s="72" t="s">
        <v>161</v>
      </c>
      <c r="K60" s="79">
        <v>10</v>
      </c>
      <c r="L60" s="76">
        <f t="shared" si="9"/>
        <v>4870000</v>
      </c>
      <c r="M60" s="72">
        <v>7</v>
      </c>
      <c r="N60" s="192">
        <f t="shared" si="1"/>
        <v>340900000</v>
      </c>
      <c r="O60" s="87"/>
      <c r="P60" s="87">
        <v>340900000</v>
      </c>
      <c r="Q60" s="87"/>
      <c r="R60" s="87"/>
      <c r="S60" s="150">
        <f>IF(D60="","-",VLOOKUP(D60,DATOS!$B$47:$C$48,2,0)-SUMIFS(P$2:P60,D$2:D60,D60))</f>
        <v>1844637193</v>
      </c>
      <c r="T60" s="150">
        <f>IF(D60="","-",VLOOKUP(D60,DATOS!$B$47:$D$48,3,0)-SUMIFS(Q$2:Q60,D$2:D60,D60))</f>
        <v>3373198303</v>
      </c>
      <c r="U60" s="150">
        <f>IF(D60="","-",VLOOKUP(D60,DATOS!$B$47:$E$48,4,0)-SUMIFS(R$2:R60,D$2:D60,D60))</f>
        <v>743885885</v>
      </c>
      <c r="V60" s="150">
        <f>IF(H60="","-",VLOOKUP(H60,DATOS!$D$52:$E$75,2,0)-SUMIFS(N$2:N60,H$2:H60,H60))</f>
        <v>824637193</v>
      </c>
      <c r="W60" s="79"/>
      <c r="X60" s="79"/>
      <c r="Y60" s="72">
        <v>80111601</v>
      </c>
      <c r="Z60" s="166" t="str">
        <f t="shared" si="31"/>
        <v>Prestación de Servicios Profesionales historia para apoyar el desarrollo del diagnóstico de los medios digitales del archivo del extinto DAS en custodia y conservación del AGN (cumplimiento al AUTO OPV182 de 2023). SEL24</v>
      </c>
      <c r="AA60" s="71" t="s">
        <v>278</v>
      </c>
      <c r="AB60" s="71" t="s">
        <v>278</v>
      </c>
      <c r="AC60" s="79">
        <v>10</v>
      </c>
      <c r="AD60" s="71" t="s">
        <v>271</v>
      </c>
      <c r="AE60" s="72" t="str">
        <f t="shared" si="32"/>
        <v>Contratación directa</v>
      </c>
      <c r="AF60" s="72" t="str">
        <f t="shared" si="29"/>
        <v>Nación</v>
      </c>
      <c r="AG60" s="167">
        <f t="shared" si="30"/>
        <v>340900000</v>
      </c>
      <c r="AH60" s="167">
        <f t="shared" si="33"/>
        <v>340900000</v>
      </c>
      <c r="AI60" s="71" t="s">
        <v>272</v>
      </c>
      <c r="AJ60" s="71" t="s">
        <v>273</v>
      </c>
      <c r="AK60" s="72" t="s">
        <v>274</v>
      </c>
      <c r="AL60" s="71" t="s">
        <v>275</v>
      </c>
      <c r="AM60" s="79" t="s">
        <v>323</v>
      </c>
      <c r="AN60" s="89">
        <v>3282888</v>
      </c>
      <c r="AO60" s="169" t="s">
        <v>276</v>
      </c>
    </row>
    <row r="61" spans="1:41" s="88" customFormat="1" ht="96" customHeight="1" x14ac:dyDescent="0.3">
      <c r="A61" s="79" t="s">
        <v>513</v>
      </c>
      <c r="B61" s="72" t="s">
        <v>214</v>
      </c>
      <c r="C61" s="72" t="s">
        <v>198</v>
      </c>
      <c r="D61" s="72" t="s">
        <v>225</v>
      </c>
      <c r="E61" s="73" t="str">
        <f>IFERROR(VLOOKUP(D61,DATOS!E:F,2,0),"-")</f>
        <v>PROY2</v>
      </c>
      <c r="F61" s="72" t="s">
        <v>179</v>
      </c>
      <c r="G61" s="73" t="str">
        <f>IFERROR(VLOOKUP(F61,DATOS!G:H,2,0),"-")</f>
        <v>C_3302_1603_12_20302B_3302071</v>
      </c>
      <c r="H61" s="79" t="s">
        <v>235</v>
      </c>
      <c r="I61" s="79" t="s">
        <v>530</v>
      </c>
      <c r="J61" s="72" t="s">
        <v>161</v>
      </c>
      <c r="K61" s="79">
        <v>1</v>
      </c>
      <c r="L61" s="76">
        <f t="shared" si="9"/>
        <v>824637193</v>
      </c>
      <c r="M61" s="72">
        <v>1</v>
      </c>
      <c r="N61" s="192">
        <f t="shared" si="1"/>
        <v>824637193</v>
      </c>
      <c r="O61" s="87"/>
      <c r="P61" s="87">
        <f>905887193-81250000</f>
        <v>824637193</v>
      </c>
      <c r="Q61" s="87"/>
      <c r="R61" s="87"/>
      <c r="S61" s="150">
        <f>IF(D61="","-",VLOOKUP(D61,DATOS!$B$47:$C$48,2,0)-SUMIFS(P$2:P61,D$2:D61,D61))</f>
        <v>1020000000</v>
      </c>
      <c r="T61" s="150">
        <f>IF(D61="","-",VLOOKUP(D61,DATOS!$B$47:$D$48,3,0)-SUMIFS(Q$2:Q61,D$2:D61,D61))</f>
        <v>3373198303</v>
      </c>
      <c r="U61" s="150">
        <f>IF(D61="","-",VLOOKUP(D61,DATOS!$B$47:$E$48,4,0)-SUMIFS(R$2:R61,D$2:D61,D61))</f>
        <v>743885885</v>
      </c>
      <c r="V61" s="150">
        <f>IF(H61="","-",VLOOKUP(H61,DATOS!$D$52:$E$75,2,0)-SUMIFS(N$2:N61,H$2:H61,H61))</f>
        <v>0</v>
      </c>
      <c r="W61" s="79"/>
      <c r="X61" s="79"/>
      <c r="Y61" s="72">
        <v>80111601</v>
      </c>
      <c r="Z61" s="166" t="str">
        <f t="shared" si="31"/>
        <v>Bolsa contratos de prestación de servicios. SEL25</v>
      </c>
      <c r="AA61" s="71" t="s">
        <v>278</v>
      </c>
      <c r="AB61" s="71" t="s">
        <v>278</v>
      </c>
      <c r="AC61" s="79">
        <v>10</v>
      </c>
      <c r="AD61" s="71" t="s">
        <v>271</v>
      </c>
      <c r="AE61" s="72" t="str">
        <f t="shared" si="32"/>
        <v>Contratación directa</v>
      </c>
      <c r="AF61" s="72" t="str">
        <f t="shared" si="29"/>
        <v>Nación</v>
      </c>
      <c r="AG61" s="167">
        <f t="shared" si="30"/>
        <v>824637193</v>
      </c>
      <c r="AH61" s="167">
        <f t="shared" si="33"/>
        <v>824637193</v>
      </c>
      <c r="AI61" s="71" t="s">
        <v>272</v>
      </c>
      <c r="AJ61" s="71" t="s">
        <v>273</v>
      </c>
      <c r="AK61" s="72" t="s">
        <v>274</v>
      </c>
      <c r="AL61" s="71" t="s">
        <v>275</v>
      </c>
      <c r="AM61" s="79" t="s">
        <v>323</v>
      </c>
      <c r="AN61" s="89">
        <v>3282888</v>
      </c>
      <c r="AO61" s="169" t="s">
        <v>276</v>
      </c>
    </row>
    <row r="62" spans="1:41" s="88" customFormat="1" ht="69" x14ac:dyDescent="0.3">
      <c r="A62" s="72" t="s">
        <v>430</v>
      </c>
      <c r="B62" s="72" t="s">
        <v>216</v>
      </c>
      <c r="C62" s="72" t="s">
        <v>198</v>
      </c>
      <c r="D62" s="72" t="s">
        <v>225</v>
      </c>
      <c r="E62" s="73" t="str">
        <f>IFERROR(VLOOKUP(D62,DATOS!E:F,2,0),"-")</f>
        <v>PROY2</v>
      </c>
      <c r="F62" s="72" t="s">
        <v>228</v>
      </c>
      <c r="G62" s="73" t="str">
        <f>IFERROR(VLOOKUP(F62,DATOS!G:H,2,0),"-")</f>
        <v>C_3302_1603_12_20302B_3302075</v>
      </c>
      <c r="H62" s="79" t="s">
        <v>236</v>
      </c>
      <c r="I62" s="79" t="s">
        <v>455</v>
      </c>
      <c r="J62" s="72" t="s">
        <v>161</v>
      </c>
      <c r="K62" s="79">
        <v>10</v>
      </c>
      <c r="L62" s="76">
        <f t="shared" si="9"/>
        <v>5150000</v>
      </c>
      <c r="M62" s="71">
        <v>1</v>
      </c>
      <c r="N62" s="192">
        <f t="shared" si="1"/>
        <v>51500000</v>
      </c>
      <c r="O62" s="87">
        <v>0</v>
      </c>
      <c r="P62" s="87">
        <v>20600000</v>
      </c>
      <c r="Q62" s="87">
        <v>30900000</v>
      </c>
      <c r="R62" s="87">
        <v>0</v>
      </c>
      <c r="S62" s="150">
        <f>IF(D62="","-",VLOOKUP(D62,DATOS!$B$47:$C$48,2,0)-SUMIFS(P$2:P62,D$2:D62,D62))</f>
        <v>999400000</v>
      </c>
      <c r="T62" s="150">
        <f>IF(D62="","-",VLOOKUP(D62,DATOS!$B$47:$D$48,3,0)-SUMIFS(Q$2:Q62,D$2:D62,D62))</f>
        <v>3342298303</v>
      </c>
      <c r="U62" s="150">
        <f>IF(D62="","-",VLOOKUP(D62,DATOS!$B$47:$E$48,4,0)-SUMIFS(R$2:R62,D$2:D62,D62))</f>
        <v>743885885</v>
      </c>
      <c r="V62" s="150">
        <f>IF(H62="","-",VLOOKUP(H62,DATOS!$D$52:$E$75,2,0)-SUMIFS(N$2:N62,H$2:H62,H62))</f>
        <v>3380294077</v>
      </c>
      <c r="W62" s="79"/>
      <c r="X62" s="79"/>
      <c r="Y62" s="72">
        <v>80111600</v>
      </c>
      <c r="Z62" s="166" t="str">
        <f t="shared" si="31"/>
        <v>Prestación de servicios profesionales para la realización del seguimiento y control del presupuesto, elaboración del PAA y PAC de la Subdirección de Mercadeo y Operación de Servicios Archivísticos. SMO_01</v>
      </c>
      <c r="AA62" s="71" t="s">
        <v>292</v>
      </c>
      <c r="AB62" s="71" t="s">
        <v>292</v>
      </c>
      <c r="AC62" s="79">
        <v>1</v>
      </c>
      <c r="AD62" s="71" t="s">
        <v>271</v>
      </c>
      <c r="AE62" s="72" t="str">
        <f t="shared" si="32"/>
        <v>Contratación directa</v>
      </c>
      <c r="AF62" s="72" t="str">
        <f t="shared" ref="AF62" si="34">IF(SUM(O62:R62)=0,"-",IF(SUM(O62:P62)&gt;=SUM(Q62:R62),"Nación","Propios"))</f>
        <v>Propios</v>
      </c>
      <c r="AG62" s="167">
        <f t="shared" ref="AG62" si="35">AH62</f>
        <v>51500000</v>
      </c>
      <c r="AH62" s="167">
        <f t="shared" si="33"/>
        <v>51500000</v>
      </c>
      <c r="AI62" s="71" t="s">
        <v>272</v>
      </c>
      <c r="AJ62" s="71" t="s">
        <v>273</v>
      </c>
      <c r="AK62" s="72" t="s">
        <v>274</v>
      </c>
      <c r="AL62" s="71" t="s">
        <v>275</v>
      </c>
      <c r="AM62" s="72" t="s">
        <v>482</v>
      </c>
      <c r="AN62" s="72">
        <v>3282888</v>
      </c>
      <c r="AO62" s="170" t="s">
        <v>483</v>
      </c>
    </row>
    <row r="63" spans="1:41" s="88" customFormat="1" ht="151.80000000000001" x14ac:dyDescent="0.3">
      <c r="A63" s="72" t="s">
        <v>431</v>
      </c>
      <c r="B63" s="72" t="s">
        <v>216</v>
      </c>
      <c r="C63" s="72" t="s">
        <v>198</v>
      </c>
      <c r="D63" s="72" t="s">
        <v>225</v>
      </c>
      <c r="E63" s="73" t="str">
        <f>IFERROR(VLOOKUP(D63,DATOS!E:F,2,0),"-")</f>
        <v>PROY2</v>
      </c>
      <c r="F63" s="72" t="s">
        <v>228</v>
      </c>
      <c r="G63" s="73" t="str">
        <f>IFERROR(VLOOKUP(F63,DATOS!G:H,2,0),"-")</f>
        <v>C_3302_1603_12_20302B_3302075</v>
      </c>
      <c r="H63" s="79" t="s">
        <v>236</v>
      </c>
      <c r="I63" s="79" t="s">
        <v>456</v>
      </c>
      <c r="J63" s="72" t="s">
        <v>161</v>
      </c>
      <c r="K63" s="79">
        <v>10</v>
      </c>
      <c r="L63" s="76">
        <f t="shared" si="9"/>
        <v>7000000</v>
      </c>
      <c r="M63" s="71">
        <v>1</v>
      </c>
      <c r="N63" s="192">
        <f t="shared" si="1"/>
        <v>70000000</v>
      </c>
      <c r="O63" s="87">
        <v>0</v>
      </c>
      <c r="P63" s="87">
        <v>28000000</v>
      </c>
      <c r="Q63" s="87">
        <v>0</v>
      </c>
      <c r="R63" s="87">
        <v>42000000</v>
      </c>
      <c r="S63" s="150">
        <f>IF(D63="","-",VLOOKUP(D63,DATOS!$B$47:$C$48,2,0)-SUMIFS(P$2:P63,D$2:D63,D63))</f>
        <v>971400000</v>
      </c>
      <c r="T63" s="150">
        <f>IF(D63="","-",VLOOKUP(D63,DATOS!$B$47:$D$48,3,0)-SUMIFS(Q$2:Q63,D$2:D63,D63))</f>
        <v>3342298303</v>
      </c>
      <c r="U63" s="150">
        <f>IF(D63="","-",VLOOKUP(D63,DATOS!$B$47:$E$48,4,0)-SUMIFS(R$2:R63,D$2:D63,D63))</f>
        <v>701885885</v>
      </c>
      <c r="V63" s="150">
        <f>IF(H63="","-",VLOOKUP(H63,DATOS!$D$52:$E$75,2,0)-SUMIFS(N$2:N63,H$2:H63,H63))</f>
        <v>3310294077</v>
      </c>
      <c r="W63" s="79"/>
      <c r="X63" s="79"/>
      <c r="Y63" s="72">
        <v>80111600</v>
      </c>
      <c r="Z63" s="166" t="str">
        <f t="shared" si="31"/>
        <v>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v>
      </c>
      <c r="AA63" s="71" t="s">
        <v>292</v>
      </c>
      <c r="AB63" s="71" t="s">
        <v>292</v>
      </c>
      <c r="AC63" s="71">
        <v>10</v>
      </c>
      <c r="AD63" s="71" t="s">
        <v>271</v>
      </c>
      <c r="AE63" s="72" t="str">
        <f t="shared" si="32"/>
        <v>Contratación directa</v>
      </c>
      <c r="AF63" s="72" t="str">
        <f t="shared" ref="AF63:AF88" si="36">IF(SUM(O63:R63)=0,"-",IF(SUM(O63:P63)&gt;=SUM(Q63:R63),"Nación","Propios"))</f>
        <v>Propios</v>
      </c>
      <c r="AG63" s="167">
        <f t="shared" ref="AG63:AG88" si="37">AH63</f>
        <v>70000000</v>
      </c>
      <c r="AH63" s="167">
        <f t="shared" si="33"/>
        <v>70000000</v>
      </c>
      <c r="AI63" s="71" t="s">
        <v>272</v>
      </c>
      <c r="AJ63" s="71" t="s">
        <v>273</v>
      </c>
      <c r="AK63" s="72" t="s">
        <v>274</v>
      </c>
      <c r="AL63" s="71" t="s">
        <v>275</v>
      </c>
      <c r="AM63" s="72" t="s">
        <v>482</v>
      </c>
      <c r="AN63" s="72">
        <v>3282888</v>
      </c>
      <c r="AO63" s="170" t="s">
        <v>483</v>
      </c>
    </row>
    <row r="64" spans="1:41" s="88" customFormat="1" ht="138" x14ac:dyDescent="0.3">
      <c r="A64" s="72" t="s">
        <v>432</v>
      </c>
      <c r="B64" s="72" t="s">
        <v>216</v>
      </c>
      <c r="C64" s="72" t="s">
        <v>198</v>
      </c>
      <c r="D64" s="72" t="s">
        <v>225</v>
      </c>
      <c r="E64" s="73" t="str">
        <f>IFERROR(VLOOKUP(D64,DATOS!E:F,2,0),"-")</f>
        <v>PROY2</v>
      </c>
      <c r="F64" s="72" t="s">
        <v>228</v>
      </c>
      <c r="G64" s="73" t="str">
        <f>IFERROR(VLOOKUP(F64,DATOS!G:H,2,0),"-")</f>
        <v>C_3302_1603_12_20302B_3302075</v>
      </c>
      <c r="H64" s="79" t="s">
        <v>236</v>
      </c>
      <c r="I64" s="79" t="s">
        <v>457</v>
      </c>
      <c r="J64" s="72" t="s">
        <v>161</v>
      </c>
      <c r="K64" s="79">
        <v>10</v>
      </c>
      <c r="L64" s="76">
        <f t="shared" si="9"/>
        <v>5150000</v>
      </c>
      <c r="M64" s="71">
        <v>1</v>
      </c>
      <c r="N64" s="192">
        <f t="shared" si="1"/>
        <v>51500000</v>
      </c>
      <c r="O64" s="87">
        <v>0</v>
      </c>
      <c r="P64" s="87">
        <v>20600000</v>
      </c>
      <c r="Q64" s="87">
        <v>30900000</v>
      </c>
      <c r="R64" s="87">
        <v>0</v>
      </c>
      <c r="S64" s="150">
        <f>IF(D64="","-",VLOOKUP(D64,DATOS!$B$47:$C$48,2,0)-SUMIFS(P$2:P64,D$2:D64,D64))</f>
        <v>950800000</v>
      </c>
      <c r="T64" s="150">
        <f>IF(D64="","-",VLOOKUP(D64,DATOS!$B$47:$D$48,3,0)-SUMIFS(Q$2:Q64,D$2:D64,D64))</f>
        <v>3311398303</v>
      </c>
      <c r="U64" s="150">
        <f>IF(D64="","-",VLOOKUP(D64,DATOS!$B$47:$E$48,4,0)-SUMIFS(R$2:R64,D$2:D64,D64))</f>
        <v>701885885</v>
      </c>
      <c r="V64" s="150">
        <f>IF(H64="","-",VLOOKUP(H64,DATOS!$D$52:$E$75,2,0)-SUMIFS(N$2:N64,H$2:H64,H64))</f>
        <v>3258794077</v>
      </c>
      <c r="W64" s="79"/>
      <c r="X64" s="79"/>
      <c r="Y64" s="72">
        <v>80111600</v>
      </c>
      <c r="Z64" s="166" t="str">
        <f t="shared" si="31"/>
        <v>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v>
      </c>
      <c r="AA64" s="71" t="s">
        <v>292</v>
      </c>
      <c r="AB64" s="71" t="s">
        <v>292</v>
      </c>
      <c r="AC64" s="71">
        <v>10</v>
      </c>
      <c r="AD64" s="71" t="s">
        <v>271</v>
      </c>
      <c r="AE64" s="72" t="str">
        <f t="shared" si="32"/>
        <v>Contratación directa</v>
      </c>
      <c r="AF64" s="72" t="str">
        <f t="shared" si="36"/>
        <v>Propios</v>
      </c>
      <c r="AG64" s="167">
        <f t="shared" si="37"/>
        <v>51500000</v>
      </c>
      <c r="AH64" s="167">
        <f t="shared" si="33"/>
        <v>51500000</v>
      </c>
      <c r="AI64" s="71" t="s">
        <v>272</v>
      </c>
      <c r="AJ64" s="71" t="s">
        <v>273</v>
      </c>
      <c r="AK64" s="72" t="s">
        <v>274</v>
      </c>
      <c r="AL64" s="71" t="s">
        <v>275</v>
      </c>
      <c r="AM64" s="72" t="s">
        <v>482</v>
      </c>
      <c r="AN64" s="72">
        <v>3282888</v>
      </c>
      <c r="AO64" s="170" t="s">
        <v>483</v>
      </c>
    </row>
    <row r="65" spans="1:41" s="88" customFormat="1" ht="108.75" customHeight="1" x14ac:dyDescent="0.3">
      <c r="A65" s="72" t="s">
        <v>433</v>
      </c>
      <c r="B65" s="72" t="s">
        <v>216</v>
      </c>
      <c r="C65" s="72" t="s">
        <v>198</v>
      </c>
      <c r="D65" s="72" t="s">
        <v>225</v>
      </c>
      <c r="E65" s="73" t="str">
        <f>IFERROR(VLOOKUP(D65,DATOS!E:F,2,0),"-")</f>
        <v>PROY2</v>
      </c>
      <c r="F65" s="72" t="s">
        <v>228</v>
      </c>
      <c r="G65" s="73" t="str">
        <f>IFERROR(VLOOKUP(F65,DATOS!G:H,2,0),"-")</f>
        <v>C_3302_1603_12_20302B_3302075</v>
      </c>
      <c r="H65" s="79" t="s">
        <v>236</v>
      </c>
      <c r="I65" s="79" t="s">
        <v>458</v>
      </c>
      <c r="J65" s="72" t="s">
        <v>161</v>
      </c>
      <c r="K65" s="79">
        <v>10</v>
      </c>
      <c r="L65" s="76">
        <f t="shared" si="9"/>
        <v>3700000</v>
      </c>
      <c r="M65" s="71">
        <v>1</v>
      </c>
      <c r="N65" s="192">
        <f t="shared" si="1"/>
        <v>37000000</v>
      </c>
      <c r="O65" s="87">
        <v>0</v>
      </c>
      <c r="P65" s="87">
        <v>14800000</v>
      </c>
      <c r="Q65" s="87">
        <v>22200000</v>
      </c>
      <c r="R65" s="87">
        <v>0</v>
      </c>
      <c r="S65" s="150">
        <f>IF(D65="","-",VLOOKUP(D65,DATOS!$B$47:$C$48,2,0)-SUMIFS(P$2:P65,D$2:D65,D65))</f>
        <v>936000000</v>
      </c>
      <c r="T65" s="150">
        <f>IF(D65="","-",VLOOKUP(D65,DATOS!$B$47:$D$48,3,0)-SUMIFS(Q$2:Q65,D$2:D65,D65))</f>
        <v>3289198303</v>
      </c>
      <c r="U65" s="150">
        <f>IF(D65="","-",VLOOKUP(D65,DATOS!$B$47:$E$48,4,0)-SUMIFS(R$2:R65,D$2:D65,D65))</f>
        <v>701885885</v>
      </c>
      <c r="V65" s="150">
        <f>IF(H65="","-",VLOOKUP(H65,DATOS!$D$52:$E$75,2,0)-SUMIFS(N$2:N65,H$2:H65,H65))</f>
        <v>3221794077</v>
      </c>
      <c r="W65" s="79"/>
      <c r="X65" s="79"/>
      <c r="Y65" s="72">
        <v>80111600</v>
      </c>
      <c r="Z65" s="166" t="str">
        <f t="shared" si="31"/>
        <v>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v>
      </c>
      <c r="AA65" s="71" t="s">
        <v>292</v>
      </c>
      <c r="AB65" s="71" t="s">
        <v>292</v>
      </c>
      <c r="AC65" s="71">
        <v>10</v>
      </c>
      <c r="AD65" s="71" t="s">
        <v>271</v>
      </c>
      <c r="AE65" s="72" t="str">
        <f t="shared" si="32"/>
        <v>Contratación directa</v>
      </c>
      <c r="AF65" s="72" t="str">
        <f t="shared" si="36"/>
        <v>Propios</v>
      </c>
      <c r="AG65" s="167">
        <f t="shared" si="37"/>
        <v>37000000</v>
      </c>
      <c r="AH65" s="167">
        <f t="shared" si="33"/>
        <v>37000000</v>
      </c>
      <c r="AI65" s="71" t="s">
        <v>272</v>
      </c>
      <c r="AJ65" s="71" t="s">
        <v>273</v>
      </c>
      <c r="AK65" s="72" t="s">
        <v>274</v>
      </c>
      <c r="AL65" s="71" t="s">
        <v>275</v>
      </c>
      <c r="AM65" s="72" t="s">
        <v>482</v>
      </c>
      <c r="AN65" s="72">
        <v>3282888</v>
      </c>
      <c r="AO65" s="170" t="s">
        <v>483</v>
      </c>
    </row>
    <row r="66" spans="1:41" s="88" customFormat="1" ht="104.25" customHeight="1" x14ac:dyDescent="0.3">
      <c r="A66" s="72" t="s">
        <v>434</v>
      </c>
      <c r="B66" s="72" t="s">
        <v>216</v>
      </c>
      <c r="C66" s="72" t="s">
        <v>198</v>
      </c>
      <c r="D66" s="72" t="s">
        <v>225</v>
      </c>
      <c r="E66" s="73" t="str">
        <f>IFERROR(VLOOKUP(D66,DATOS!E:F,2,0),"-")</f>
        <v>PROY2</v>
      </c>
      <c r="F66" s="72" t="s">
        <v>228</v>
      </c>
      <c r="G66" s="73" t="str">
        <f>IFERROR(VLOOKUP(F66,DATOS!G:H,2,0),"-")</f>
        <v>C_3302_1603_12_20302B_3302075</v>
      </c>
      <c r="H66" s="79" t="s">
        <v>236</v>
      </c>
      <c r="I66" s="79" t="s">
        <v>459</v>
      </c>
      <c r="J66" s="72" t="s">
        <v>161</v>
      </c>
      <c r="K66" s="79">
        <v>10</v>
      </c>
      <c r="L66" s="76">
        <f t="shared" si="9"/>
        <v>4300000</v>
      </c>
      <c r="M66" s="71">
        <v>1</v>
      </c>
      <c r="N66" s="192">
        <f t="shared" si="1"/>
        <v>43000000</v>
      </c>
      <c r="O66" s="87">
        <v>0</v>
      </c>
      <c r="P66" s="87">
        <v>17200000</v>
      </c>
      <c r="Q66" s="87">
        <v>25800000</v>
      </c>
      <c r="R66" s="87">
        <v>0</v>
      </c>
      <c r="S66" s="150">
        <f>IF(D66="","-",VLOOKUP(D66,DATOS!$B$47:$C$48,2,0)-SUMIFS(P$2:P66,D$2:D66,D66))</f>
        <v>918800000</v>
      </c>
      <c r="T66" s="150">
        <f>IF(D66="","-",VLOOKUP(D66,DATOS!$B$47:$D$48,3,0)-SUMIFS(Q$2:Q66,D$2:D66,D66))</f>
        <v>3263398303</v>
      </c>
      <c r="U66" s="150">
        <f>IF(D66="","-",VLOOKUP(D66,DATOS!$B$47:$E$48,4,0)-SUMIFS(R$2:R66,D$2:D66,D66))</f>
        <v>701885885</v>
      </c>
      <c r="V66" s="150">
        <f>IF(H66="","-",VLOOKUP(H66,DATOS!$D$52:$E$75,2,0)-SUMIFS(N$2:N66,H$2:H66,H66))</f>
        <v>3178794077</v>
      </c>
      <c r="W66" s="79"/>
      <c r="X66" s="79"/>
      <c r="Y66" s="72">
        <v>80111600</v>
      </c>
      <c r="Z66" s="166" t="str">
        <f t="shared" si="31"/>
        <v>Prestación de servicios profesionales para desarollar actividades relacionadas con el sistema  integrado de conservacion (SIC), restauración y monitoreo de condiciones ambientales en las sedes del Archivo General de la Nación. AGN _06</v>
      </c>
      <c r="AA66" s="71" t="s">
        <v>292</v>
      </c>
      <c r="AB66" s="71" t="s">
        <v>292</v>
      </c>
      <c r="AC66" s="71">
        <v>10</v>
      </c>
      <c r="AD66" s="71" t="s">
        <v>271</v>
      </c>
      <c r="AE66" s="72" t="str">
        <f t="shared" si="32"/>
        <v>Contratación directa</v>
      </c>
      <c r="AF66" s="72" t="str">
        <f t="shared" si="36"/>
        <v>Propios</v>
      </c>
      <c r="AG66" s="167">
        <f t="shared" si="37"/>
        <v>43000000</v>
      </c>
      <c r="AH66" s="167">
        <f t="shared" si="33"/>
        <v>43000000</v>
      </c>
      <c r="AI66" s="71" t="s">
        <v>272</v>
      </c>
      <c r="AJ66" s="71" t="s">
        <v>273</v>
      </c>
      <c r="AK66" s="72" t="s">
        <v>274</v>
      </c>
      <c r="AL66" s="71" t="s">
        <v>275</v>
      </c>
      <c r="AM66" s="72" t="s">
        <v>482</v>
      </c>
      <c r="AN66" s="72">
        <v>3282888</v>
      </c>
      <c r="AO66" s="170" t="s">
        <v>483</v>
      </c>
    </row>
    <row r="67" spans="1:41" s="88" customFormat="1" ht="105" customHeight="1" x14ac:dyDescent="0.3">
      <c r="A67" s="72" t="s">
        <v>435</v>
      </c>
      <c r="B67" s="72" t="s">
        <v>216</v>
      </c>
      <c r="C67" s="72" t="s">
        <v>198</v>
      </c>
      <c r="D67" s="72" t="s">
        <v>225</v>
      </c>
      <c r="E67" s="73" t="str">
        <f>IFERROR(VLOOKUP(D67,DATOS!E:F,2,0),"-")</f>
        <v>PROY2</v>
      </c>
      <c r="F67" s="72" t="s">
        <v>228</v>
      </c>
      <c r="G67" s="73" t="str">
        <f>IFERROR(VLOOKUP(F67,DATOS!G:H,2,0),"-")</f>
        <v>C_3302_1603_12_20302B_3302075</v>
      </c>
      <c r="H67" s="79" t="s">
        <v>236</v>
      </c>
      <c r="I67" s="91" t="s">
        <v>460</v>
      </c>
      <c r="J67" s="72" t="s">
        <v>161</v>
      </c>
      <c r="K67" s="91">
        <v>10</v>
      </c>
      <c r="L67" s="76">
        <f t="shared" si="9"/>
        <v>5800000</v>
      </c>
      <c r="M67" s="71">
        <v>3</v>
      </c>
      <c r="N67" s="192">
        <f t="shared" si="1"/>
        <v>174000000</v>
      </c>
      <c r="O67" s="87">
        <v>0</v>
      </c>
      <c r="P67" s="87">
        <v>69600000</v>
      </c>
      <c r="Q67" s="87">
        <v>104400000</v>
      </c>
      <c r="R67" s="87">
        <v>0</v>
      </c>
      <c r="S67" s="150">
        <f>IF(D67="","-",VLOOKUP(D67,DATOS!$B$47:$C$48,2,0)-SUMIFS(P$2:P67,D$2:D67,D67))</f>
        <v>849200000</v>
      </c>
      <c r="T67" s="150">
        <f>IF(D67="","-",VLOOKUP(D67,DATOS!$B$47:$D$48,3,0)-SUMIFS(Q$2:Q67,D$2:D67,D67))</f>
        <v>3158998303</v>
      </c>
      <c r="U67" s="150">
        <f>IF(D67="","-",VLOOKUP(D67,DATOS!$B$47:$E$48,4,0)-SUMIFS(R$2:R67,D$2:D67,D67))</f>
        <v>701885885</v>
      </c>
      <c r="V67" s="150">
        <f>IF(H67="","-",VLOOKUP(H67,DATOS!$D$52:$E$75,2,0)-SUMIFS(N$2:N67,H$2:H67,H67))</f>
        <v>3004794077</v>
      </c>
      <c r="W67" s="91"/>
      <c r="X67" s="91"/>
      <c r="Y67" s="72">
        <v>80111600</v>
      </c>
      <c r="Z67" s="166" t="str">
        <f t="shared" si="31"/>
        <v>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v>
      </c>
      <c r="AA67" s="71" t="s">
        <v>292</v>
      </c>
      <c r="AB67" s="71" t="s">
        <v>292</v>
      </c>
      <c r="AC67" s="71">
        <v>10</v>
      </c>
      <c r="AD67" s="71" t="s">
        <v>271</v>
      </c>
      <c r="AE67" s="89" t="str">
        <f t="shared" si="32"/>
        <v>Contratación directa</v>
      </c>
      <c r="AF67" s="72" t="str">
        <f t="shared" si="36"/>
        <v>Propios</v>
      </c>
      <c r="AG67" s="167">
        <f t="shared" si="37"/>
        <v>174000000</v>
      </c>
      <c r="AH67" s="167">
        <f t="shared" si="33"/>
        <v>174000000</v>
      </c>
      <c r="AI67" s="71" t="s">
        <v>272</v>
      </c>
      <c r="AJ67" s="71" t="s">
        <v>273</v>
      </c>
      <c r="AK67" s="72" t="s">
        <v>274</v>
      </c>
      <c r="AL67" s="71" t="s">
        <v>275</v>
      </c>
      <c r="AM67" s="72" t="s">
        <v>482</v>
      </c>
      <c r="AN67" s="72">
        <v>3282888</v>
      </c>
      <c r="AO67" s="170" t="s">
        <v>483</v>
      </c>
    </row>
    <row r="68" spans="1:41" s="88" customFormat="1" ht="105.75" customHeight="1" x14ac:dyDescent="0.3">
      <c r="A68" s="72" t="s">
        <v>436</v>
      </c>
      <c r="B68" s="72" t="s">
        <v>216</v>
      </c>
      <c r="C68" s="72" t="s">
        <v>198</v>
      </c>
      <c r="D68" s="72" t="s">
        <v>225</v>
      </c>
      <c r="E68" s="73" t="str">
        <f>IFERROR(VLOOKUP(D68,DATOS!E:F,2,0),"-")</f>
        <v>PROY2</v>
      </c>
      <c r="F68" s="72" t="s">
        <v>228</v>
      </c>
      <c r="G68" s="73" t="str">
        <f>IFERROR(VLOOKUP(F68,DATOS!G:H,2,0),"-")</f>
        <v>C_3302_1603_12_20302B_3302075</v>
      </c>
      <c r="H68" s="79" t="s">
        <v>236</v>
      </c>
      <c r="I68" s="79" t="s">
        <v>461</v>
      </c>
      <c r="J68" s="72" t="s">
        <v>161</v>
      </c>
      <c r="K68" s="79">
        <v>10</v>
      </c>
      <c r="L68" s="76">
        <f t="shared" si="9"/>
        <v>6800000</v>
      </c>
      <c r="M68" s="71">
        <v>4</v>
      </c>
      <c r="N68" s="192">
        <f t="shared" si="1"/>
        <v>272000000</v>
      </c>
      <c r="O68" s="87">
        <v>0</v>
      </c>
      <c r="P68" s="87">
        <v>108800000</v>
      </c>
      <c r="Q68" s="87">
        <v>163200000</v>
      </c>
      <c r="R68" s="87">
        <v>0</v>
      </c>
      <c r="S68" s="150">
        <f>IF(D68="","-",VLOOKUP(D68,DATOS!$B$47:$C$48,2,0)-SUMIFS(P$2:P68,D$2:D68,D68))</f>
        <v>740400000</v>
      </c>
      <c r="T68" s="150">
        <f>IF(D68="","-",VLOOKUP(D68,DATOS!$B$47:$D$48,3,0)-SUMIFS(Q$2:Q68,D$2:D68,D68))</f>
        <v>2995798303</v>
      </c>
      <c r="U68" s="150">
        <f>IF(D68="","-",VLOOKUP(D68,DATOS!$B$47:$E$48,4,0)-SUMIFS(R$2:R68,D$2:D68,D68))</f>
        <v>701885885</v>
      </c>
      <c r="V68" s="150">
        <f>IF(H68="","-",VLOOKUP(H68,DATOS!$D$52:$E$75,2,0)-SUMIFS(N$2:N68,H$2:H68,H68))</f>
        <v>2732794077</v>
      </c>
      <c r="W68" s="79"/>
      <c r="X68" s="79"/>
      <c r="Y68" s="72">
        <v>80111600</v>
      </c>
      <c r="Z68" s="166" t="str">
        <f t="shared" si="31"/>
        <v>Prestación de Servicios Profesionales para apoyar la supervisión de la ejecución de los contratos interadministrativos suscritos por venta de servicios adelantados por la Subdirección de Mercadeo y Operación de Servicios Archivísticos. SMO_08</v>
      </c>
      <c r="AA68" s="71" t="s">
        <v>292</v>
      </c>
      <c r="AB68" s="71" t="s">
        <v>292</v>
      </c>
      <c r="AC68" s="71">
        <v>10</v>
      </c>
      <c r="AD68" s="71" t="s">
        <v>271</v>
      </c>
      <c r="AE68" s="72" t="str">
        <f t="shared" si="32"/>
        <v>Contratación directa</v>
      </c>
      <c r="AF68" s="72" t="str">
        <f t="shared" si="36"/>
        <v>Propios</v>
      </c>
      <c r="AG68" s="167">
        <f t="shared" si="37"/>
        <v>272000000</v>
      </c>
      <c r="AH68" s="167">
        <f t="shared" si="33"/>
        <v>272000000</v>
      </c>
      <c r="AI68" s="71" t="s">
        <v>272</v>
      </c>
      <c r="AJ68" s="71" t="s">
        <v>273</v>
      </c>
      <c r="AK68" s="72" t="s">
        <v>274</v>
      </c>
      <c r="AL68" s="71" t="s">
        <v>275</v>
      </c>
      <c r="AM68" s="72" t="s">
        <v>482</v>
      </c>
      <c r="AN68" s="72">
        <v>3282888</v>
      </c>
      <c r="AO68" s="170" t="s">
        <v>483</v>
      </c>
    </row>
    <row r="69" spans="1:41" s="88" customFormat="1" ht="137.25" customHeight="1" x14ac:dyDescent="0.3">
      <c r="A69" s="72" t="s">
        <v>437</v>
      </c>
      <c r="B69" s="72" t="s">
        <v>216</v>
      </c>
      <c r="C69" s="72" t="s">
        <v>198</v>
      </c>
      <c r="D69" s="72" t="s">
        <v>225</v>
      </c>
      <c r="E69" s="73" t="str">
        <f>IFERROR(VLOOKUP(D69,DATOS!E:F,2,0),"-")</f>
        <v>PROY2</v>
      </c>
      <c r="F69" s="72" t="s">
        <v>228</v>
      </c>
      <c r="G69" s="73" t="str">
        <f>IFERROR(VLOOKUP(F69,DATOS!G:H,2,0),"-")</f>
        <v>C_3302_1603_12_20302B_3302075</v>
      </c>
      <c r="H69" s="79" t="s">
        <v>236</v>
      </c>
      <c r="I69" s="79" t="s">
        <v>462</v>
      </c>
      <c r="J69" s="72" t="s">
        <v>161</v>
      </c>
      <c r="K69" s="79">
        <v>10</v>
      </c>
      <c r="L69" s="76">
        <f t="shared" si="9"/>
        <v>5000000</v>
      </c>
      <c r="M69" s="71">
        <v>5</v>
      </c>
      <c r="N69" s="192">
        <f t="shared" si="1"/>
        <v>250000000</v>
      </c>
      <c r="O69" s="87">
        <v>0</v>
      </c>
      <c r="P69" s="87">
        <v>100000000</v>
      </c>
      <c r="Q69" s="87">
        <v>126000000</v>
      </c>
      <c r="R69" s="87">
        <v>24000000</v>
      </c>
      <c r="S69" s="150">
        <f>IF(D69="","-",VLOOKUP(D69,DATOS!$B$47:$C$48,2,0)-SUMIFS(P$2:P69,D$2:D69,D69))</f>
        <v>640400000</v>
      </c>
      <c r="T69" s="150">
        <f>IF(D69="","-",VLOOKUP(D69,DATOS!$B$47:$D$48,3,0)-SUMIFS(Q$2:Q69,D$2:D69,D69))</f>
        <v>2869798303</v>
      </c>
      <c r="U69" s="150">
        <f>IF(D69="","-",VLOOKUP(D69,DATOS!$B$47:$E$48,4,0)-SUMIFS(R$2:R69,D$2:D69,D69))</f>
        <v>677885885</v>
      </c>
      <c r="V69" s="150">
        <f>IF(H69="","-",VLOOKUP(H69,DATOS!$D$52:$E$75,2,0)-SUMIFS(N$2:N69,H$2:H69,H69))</f>
        <v>2482794077</v>
      </c>
      <c r="W69" s="79"/>
      <c r="X69" s="79"/>
      <c r="Y69" s="78">
        <v>80111600</v>
      </c>
      <c r="Z69" s="166" t="str">
        <f t="shared" si="31"/>
        <v>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v>
      </c>
      <c r="AA69" s="71" t="s">
        <v>292</v>
      </c>
      <c r="AB69" s="71" t="s">
        <v>292</v>
      </c>
      <c r="AC69" s="71">
        <v>10</v>
      </c>
      <c r="AD69" s="71" t="s">
        <v>271</v>
      </c>
      <c r="AE69" s="72" t="str">
        <f t="shared" si="32"/>
        <v>Contratación directa</v>
      </c>
      <c r="AF69" s="72" t="str">
        <f t="shared" si="36"/>
        <v>Propios</v>
      </c>
      <c r="AG69" s="167">
        <f t="shared" si="37"/>
        <v>250000000</v>
      </c>
      <c r="AH69" s="167">
        <f t="shared" si="33"/>
        <v>250000000</v>
      </c>
      <c r="AI69" s="71" t="s">
        <v>272</v>
      </c>
      <c r="AJ69" s="71" t="s">
        <v>273</v>
      </c>
      <c r="AK69" s="72" t="s">
        <v>274</v>
      </c>
      <c r="AL69" s="71" t="s">
        <v>275</v>
      </c>
      <c r="AM69" s="72" t="s">
        <v>482</v>
      </c>
      <c r="AN69" s="72">
        <v>3282888</v>
      </c>
      <c r="AO69" s="170" t="s">
        <v>483</v>
      </c>
    </row>
    <row r="70" spans="1:41" s="88" customFormat="1" ht="120" customHeight="1" x14ac:dyDescent="0.3">
      <c r="A70" s="72" t="s">
        <v>438</v>
      </c>
      <c r="B70" s="72" t="s">
        <v>216</v>
      </c>
      <c r="C70" s="72" t="s">
        <v>198</v>
      </c>
      <c r="D70" s="72" t="s">
        <v>225</v>
      </c>
      <c r="E70" s="73" t="str">
        <f>IFERROR(VLOOKUP(D70,DATOS!E:F,2,0),"-")</f>
        <v>PROY2</v>
      </c>
      <c r="F70" s="72" t="s">
        <v>228</v>
      </c>
      <c r="G70" s="73" t="str">
        <f>IFERROR(VLOOKUP(F70,DATOS!G:H,2,0),"-")</f>
        <v>C_3302_1603_12_20302B_3302075</v>
      </c>
      <c r="H70" s="79" t="s">
        <v>236</v>
      </c>
      <c r="I70" s="79" t="s">
        <v>463</v>
      </c>
      <c r="J70" s="72" t="s">
        <v>161</v>
      </c>
      <c r="K70" s="79">
        <v>10</v>
      </c>
      <c r="L70" s="76">
        <f t="shared" si="9"/>
        <v>2799999.9999949774</v>
      </c>
      <c r="M70" s="178">
        <v>79.642857143000001</v>
      </c>
      <c r="N70" s="192">
        <f t="shared" si="1"/>
        <v>2230000000</v>
      </c>
      <c r="O70" s="87">
        <v>0</v>
      </c>
      <c r="P70" s="87">
        <v>0</v>
      </c>
      <c r="Q70" s="87">
        <v>2160000000</v>
      </c>
      <c r="R70" s="87">
        <v>70000000</v>
      </c>
      <c r="S70" s="150">
        <f>IF(D70="","-",VLOOKUP(D70,DATOS!$B$47:$C$48,2,0)-SUMIFS(P$2:P70,D$2:D70,D70))</f>
        <v>640400000</v>
      </c>
      <c r="T70" s="150">
        <f>IF(D70="","-",VLOOKUP(D70,DATOS!$B$47:$D$48,3,0)-SUMIFS(Q$2:Q70,D$2:D70,D70))</f>
        <v>709798303</v>
      </c>
      <c r="U70" s="150">
        <f>IF(D70="","-",VLOOKUP(D70,DATOS!$B$47:$E$48,4,0)-SUMIFS(R$2:R70,D$2:D70,D70))</f>
        <v>607885885</v>
      </c>
      <c r="V70" s="150">
        <f>IF(H70="","-",VLOOKUP(H70,DATOS!$D$52:$E$75,2,0)-SUMIFS(N$2:N70,H$2:H70,H70))</f>
        <v>252794077</v>
      </c>
      <c r="W70" s="79"/>
      <c r="X70" s="79"/>
      <c r="Y70" s="78">
        <v>80111600</v>
      </c>
      <c r="Z70" s="166" t="str">
        <f t="shared" si="31"/>
        <v>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v>
      </c>
      <c r="AA70" s="71" t="s">
        <v>292</v>
      </c>
      <c r="AB70" s="71" t="s">
        <v>292</v>
      </c>
      <c r="AC70" s="71">
        <v>10</v>
      </c>
      <c r="AD70" s="71" t="s">
        <v>271</v>
      </c>
      <c r="AE70" s="72" t="str">
        <f t="shared" si="32"/>
        <v>Contratación directa</v>
      </c>
      <c r="AF70" s="72" t="str">
        <f t="shared" si="36"/>
        <v>Propios</v>
      </c>
      <c r="AG70" s="167">
        <f t="shared" si="37"/>
        <v>2230000000</v>
      </c>
      <c r="AH70" s="167">
        <f t="shared" si="33"/>
        <v>2230000000</v>
      </c>
      <c r="AI70" s="71" t="s">
        <v>272</v>
      </c>
      <c r="AJ70" s="71" t="s">
        <v>273</v>
      </c>
      <c r="AK70" s="72" t="s">
        <v>274</v>
      </c>
      <c r="AL70" s="71" t="s">
        <v>275</v>
      </c>
      <c r="AM70" s="72" t="s">
        <v>482</v>
      </c>
      <c r="AN70" s="72">
        <v>3282888</v>
      </c>
      <c r="AO70" s="170" t="s">
        <v>483</v>
      </c>
    </row>
    <row r="71" spans="1:41" s="88" customFormat="1" ht="135.75" customHeight="1" x14ac:dyDescent="0.3">
      <c r="A71" s="72" t="s">
        <v>439</v>
      </c>
      <c r="B71" s="72" t="s">
        <v>216</v>
      </c>
      <c r="C71" s="72" t="s">
        <v>198</v>
      </c>
      <c r="D71" s="72" t="s">
        <v>225</v>
      </c>
      <c r="E71" s="73" t="str">
        <f>IFERROR(VLOOKUP(D71,DATOS!E:F,2,0),"-")</f>
        <v>PROY2</v>
      </c>
      <c r="F71" s="72" t="s">
        <v>228</v>
      </c>
      <c r="G71" s="73" t="str">
        <f>IFERROR(VLOOKUP(F71,DATOS!G:H,2,0),"-")</f>
        <v>C_3302_1603_12_20302B_3302075</v>
      </c>
      <c r="H71" s="79" t="s">
        <v>236</v>
      </c>
      <c r="I71" s="79" t="s">
        <v>464</v>
      </c>
      <c r="J71" s="72" t="s">
        <v>161</v>
      </c>
      <c r="K71" s="79">
        <v>4</v>
      </c>
      <c r="L71" s="76">
        <f t="shared" si="9"/>
        <v>6500000</v>
      </c>
      <c r="M71" s="71">
        <v>1</v>
      </c>
      <c r="N71" s="192">
        <f t="shared" si="1"/>
        <v>26000000</v>
      </c>
      <c r="O71" s="87">
        <v>0</v>
      </c>
      <c r="P71" s="87">
        <v>26000000</v>
      </c>
      <c r="Q71" s="87">
        <v>0</v>
      </c>
      <c r="R71" s="87">
        <v>0</v>
      </c>
      <c r="S71" s="150">
        <f>IF(D71="","-",VLOOKUP(D71,DATOS!$B$47:$C$48,2,0)-SUMIFS(P$2:P71,D$2:D71,D71))</f>
        <v>614400000</v>
      </c>
      <c r="T71" s="150">
        <f>IF(D71="","-",VLOOKUP(D71,DATOS!$B$47:$D$48,3,0)-SUMIFS(Q$2:Q71,D$2:D71,D71))</f>
        <v>709798303</v>
      </c>
      <c r="U71" s="150">
        <f>IF(D71="","-",VLOOKUP(D71,DATOS!$B$47:$E$48,4,0)-SUMIFS(R$2:R71,D$2:D71,D71))</f>
        <v>607885885</v>
      </c>
      <c r="V71" s="150">
        <f>IF(H71="","-",VLOOKUP(H71,DATOS!$D$52:$E$75,2,0)-SUMIFS(N$2:N71,H$2:H71,H71))</f>
        <v>226794077</v>
      </c>
      <c r="W71" s="79"/>
      <c r="X71" s="79"/>
      <c r="Y71" s="78">
        <v>80111600</v>
      </c>
      <c r="Z71" s="166" t="str">
        <f t="shared" si="31"/>
        <v>Prestación de servicios profesionales para elaborar, adecuar, actualizar según se requiera la herramienta-aplicativo empleada para realizar el seguimiento a la producción diaria y a la herramienta utilizada para la recolección de datos para el servicio de diagnóstico integral del archivo, en el marco de los contratos interadministrativos suscritos por venta de servicios adelantados por la Subdirección de Mercadeo y Operación de Servicios Archivísticos. SMO_11</v>
      </c>
      <c r="AA71" s="71" t="s">
        <v>292</v>
      </c>
      <c r="AB71" s="71" t="s">
        <v>292</v>
      </c>
      <c r="AC71" s="71">
        <v>4</v>
      </c>
      <c r="AD71" s="71" t="s">
        <v>271</v>
      </c>
      <c r="AE71" s="72" t="str">
        <f t="shared" si="32"/>
        <v>Contratación directa</v>
      </c>
      <c r="AF71" s="72" t="str">
        <f t="shared" si="36"/>
        <v>Nación</v>
      </c>
      <c r="AG71" s="167">
        <f t="shared" si="37"/>
        <v>26000000</v>
      </c>
      <c r="AH71" s="167">
        <f t="shared" si="33"/>
        <v>26000000</v>
      </c>
      <c r="AI71" s="71" t="s">
        <v>272</v>
      </c>
      <c r="AJ71" s="71" t="s">
        <v>273</v>
      </c>
      <c r="AK71" s="72" t="s">
        <v>274</v>
      </c>
      <c r="AL71" s="71" t="s">
        <v>275</v>
      </c>
      <c r="AM71" s="72" t="s">
        <v>482</v>
      </c>
      <c r="AN71" s="72">
        <v>3282888</v>
      </c>
      <c r="AO71" s="170" t="s">
        <v>483</v>
      </c>
    </row>
    <row r="72" spans="1:41" s="88" customFormat="1" ht="105" customHeight="1" x14ac:dyDescent="0.3">
      <c r="A72" s="72" t="s">
        <v>440</v>
      </c>
      <c r="B72" s="72" t="s">
        <v>216</v>
      </c>
      <c r="C72" s="72" t="s">
        <v>198</v>
      </c>
      <c r="D72" s="72" t="s">
        <v>225</v>
      </c>
      <c r="E72" s="73" t="str">
        <f>IFERROR(VLOOKUP(D72,DATOS!E:F,2,0),"-")</f>
        <v>PROY2</v>
      </c>
      <c r="F72" s="72" t="s">
        <v>228</v>
      </c>
      <c r="G72" s="73" t="str">
        <f>IFERROR(VLOOKUP(F72,DATOS!G:H,2,0),"-")</f>
        <v>C_3302_1603_12_20302B_3302075</v>
      </c>
      <c r="H72" s="79" t="s">
        <v>236</v>
      </c>
      <c r="I72" s="79" t="s">
        <v>465</v>
      </c>
      <c r="J72" s="72" t="s">
        <v>161</v>
      </c>
      <c r="K72" s="83">
        <v>6</v>
      </c>
      <c r="L72" s="76">
        <f t="shared" si="9"/>
        <v>3600000</v>
      </c>
      <c r="M72" s="71">
        <v>1</v>
      </c>
      <c r="N72" s="192">
        <f t="shared" si="1"/>
        <v>21600000</v>
      </c>
      <c r="O72" s="87">
        <v>0</v>
      </c>
      <c r="P72" s="87">
        <v>21600000</v>
      </c>
      <c r="Q72" s="87">
        <v>0</v>
      </c>
      <c r="R72" s="87">
        <v>0</v>
      </c>
      <c r="S72" s="150">
        <f>IF(D72="","-",VLOOKUP(D72,DATOS!$B$47:$C$48,2,0)-SUMIFS(P$2:P72,D$2:D72,D72))</f>
        <v>592800000</v>
      </c>
      <c r="T72" s="150">
        <f>IF(D72="","-",VLOOKUP(D72,DATOS!$B$47:$D$48,3,0)-SUMIFS(Q$2:Q72,D$2:D72,D72))</f>
        <v>709798303</v>
      </c>
      <c r="U72" s="150">
        <f>IF(D72="","-",VLOOKUP(D72,DATOS!$B$47:$E$48,4,0)-SUMIFS(R$2:R72,D$2:D72,D72))</f>
        <v>607885885</v>
      </c>
      <c r="V72" s="150">
        <f>IF(H72="","-",VLOOKUP(H72,DATOS!$D$52:$E$75,2,0)-SUMIFS(N$2:N72,H$2:H72,H72))</f>
        <v>205194077</v>
      </c>
      <c r="W72" s="79"/>
      <c r="X72" s="79"/>
      <c r="Y72" s="78">
        <v>80111600</v>
      </c>
      <c r="Z72" s="166" t="str">
        <f t="shared" si="31"/>
        <v>Contratar los servicios técnicos para la operación de la mesa de servicios en la solución de requerimiento e incidentes. SMO_12</v>
      </c>
      <c r="AA72" s="71" t="s">
        <v>292</v>
      </c>
      <c r="AB72" s="71" t="s">
        <v>292</v>
      </c>
      <c r="AC72" s="71">
        <v>6</v>
      </c>
      <c r="AD72" s="71" t="s">
        <v>271</v>
      </c>
      <c r="AE72" s="72" t="str">
        <f t="shared" si="32"/>
        <v>Contratación directa</v>
      </c>
      <c r="AF72" s="72" t="str">
        <f t="shared" si="36"/>
        <v>Nación</v>
      </c>
      <c r="AG72" s="167">
        <f t="shared" si="37"/>
        <v>21600000</v>
      </c>
      <c r="AH72" s="167">
        <f t="shared" si="33"/>
        <v>21600000</v>
      </c>
      <c r="AI72" s="71" t="s">
        <v>272</v>
      </c>
      <c r="AJ72" s="71" t="s">
        <v>273</v>
      </c>
      <c r="AK72" s="72" t="s">
        <v>274</v>
      </c>
      <c r="AL72" s="71" t="s">
        <v>275</v>
      </c>
      <c r="AM72" s="72" t="s">
        <v>482</v>
      </c>
      <c r="AN72" s="72">
        <v>3282888</v>
      </c>
      <c r="AO72" s="170" t="s">
        <v>483</v>
      </c>
    </row>
    <row r="73" spans="1:41" s="88" customFormat="1" ht="100.5" customHeight="1" x14ac:dyDescent="0.3">
      <c r="A73" s="72" t="s">
        <v>441</v>
      </c>
      <c r="B73" s="72" t="s">
        <v>216</v>
      </c>
      <c r="C73" s="72" t="s">
        <v>198</v>
      </c>
      <c r="D73" s="72" t="s">
        <v>225</v>
      </c>
      <c r="E73" s="73" t="str">
        <f>IFERROR(VLOOKUP(D73,DATOS!E:F,2,0),"-")</f>
        <v>PROY2</v>
      </c>
      <c r="F73" s="72" t="s">
        <v>228</v>
      </c>
      <c r="G73" s="73" t="str">
        <f>IFERROR(VLOOKUP(F73,DATOS!G:H,2,0),"-")</f>
        <v>C_3302_1603_12_20302B_3302075</v>
      </c>
      <c r="H73" s="79" t="s">
        <v>236</v>
      </c>
      <c r="I73" s="79" t="s">
        <v>466</v>
      </c>
      <c r="J73" s="72" t="s">
        <v>167</v>
      </c>
      <c r="K73" s="83">
        <v>2</v>
      </c>
      <c r="L73" s="76">
        <f t="shared" si="9"/>
        <v>5000000</v>
      </c>
      <c r="M73" s="71">
        <v>1</v>
      </c>
      <c r="N73" s="192">
        <f t="shared" si="1"/>
        <v>10000000</v>
      </c>
      <c r="O73" s="87">
        <v>0</v>
      </c>
      <c r="P73" s="87">
        <v>1900000</v>
      </c>
      <c r="Q73" s="87">
        <v>3438749</v>
      </c>
      <c r="R73" s="87">
        <v>4661251</v>
      </c>
      <c r="S73" s="150">
        <f>IF(D73="","-",VLOOKUP(D73,DATOS!$B$47:$C$48,2,0)-SUMIFS(P$2:P73,D$2:D73,D73))</f>
        <v>590900000</v>
      </c>
      <c r="T73" s="150">
        <f>IF(D73="","-",VLOOKUP(D73,DATOS!$B$47:$D$48,3,0)-SUMIFS(Q$2:Q73,D$2:D73,D73))</f>
        <v>706359554</v>
      </c>
      <c r="U73" s="150">
        <f>IF(D73="","-",VLOOKUP(D73,DATOS!$B$47:$E$48,4,0)-SUMIFS(R$2:R73,D$2:D73,D73))</f>
        <v>603224634</v>
      </c>
      <c r="V73" s="150">
        <f>IF(H73="","-",VLOOKUP(H73,DATOS!$D$52:$E$75,2,0)-SUMIFS(N$2:N73,H$2:H73,H73))</f>
        <v>195194077</v>
      </c>
      <c r="W73" s="79"/>
      <c r="X73" s="79"/>
      <c r="Y73" s="72" t="s">
        <v>484</v>
      </c>
      <c r="Z73" s="166" t="str">
        <f t="shared" si="31"/>
        <v>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 SMO_13</v>
      </c>
      <c r="AA73" s="71" t="s">
        <v>277</v>
      </c>
      <c r="AB73" s="71" t="s">
        <v>279</v>
      </c>
      <c r="AC73" s="71">
        <v>2</v>
      </c>
      <c r="AD73" s="71" t="s">
        <v>271</v>
      </c>
      <c r="AE73" s="72" t="str">
        <f t="shared" si="32"/>
        <v>Mínima cuantía</v>
      </c>
      <c r="AF73" s="72" t="str">
        <f t="shared" si="36"/>
        <v>Propios</v>
      </c>
      <c r="AG73" s="167">
        <f t="shared" si="37"/>
        <v>10000000</v>
      </c>
      <c r="AH73" s="167">
        <f t="shared" si="33"/>
        <v>10000000</v>
      </c>
      <c r="AI73" s="71" t="s">
        <v>272</v>
      </c>
      <c r="AJ73" s="71" t="s">
        <v>273</v>
      </c>
      <c r="AK73" s="72" t="s">
        <v>274</v>
      </c>
      <c r="AL73" s="71" t="s">
        <v>275</v>
      </c>
      <c r="AM73" s="72" t="s">
        <v>482</v>
      </c>
      <c r="AN73" s="72">
        <v>3282888</v>
      </c>
      <c r="AO73" s="170" t="s">
        <v>483</v>
      </c>
    </row>
    <row r="74" spans="1:41" s="88" customFormat="1" ht="102.75" customHeight="1" x14ac:dyDescent="0.3">
      <c r="A74" s="72" t="s">
        <v>442</v>
      </c>
      <c r="B74" s="72" t="s">
        <v>216</v>
      </c>
      <c r="C74" s="72" t="s">
        <v>198</v>
      </c>
      <c r="D74" s="72" t="s">
        <v>225</v>
      </c>
      <c r="E74" s="73" t="str">
        <f>IFERROR(VLOOKUP(D74,DATOS!E:F,2,0),"-")</f>
        <v>PROY2</v>
      </c>
      <c r="F74" s="72" t="s">
        <v>228</v>
      </c>
      <c r="G74" s="73" t="str">
        <f>IFERROR(VLOOKUP(F74,DATOS!G:H,2,0),"-")</f>
        <v>C_3302_1603_12_20302B_3302075</v>
      </c>
      <c r="H74" s="79" t="s">
        <v>236</v>
      </c>
      <c r="I74" s="79" t="s">
        <v>467</v>
      </c>
      <c r="J74" s="72" t="s">
        <v>167</v>
      </c>
      <c r="K74" s="79">
        <v>3</v>
      </c>
      <c r="L74" s="76">
        <f t="shared" si="9"/>
        <v>2000000</v>
      </c>
      <c r="M74" s="71">
        <v>1</v>
      </c>
      <c r="N74" s="192">
        <f t="shared" si="1"/>
        <v>6000000</v>
      </c>
      <c r="O74" s="87">
        <v>0</v>
      </c>
      <c r="P74" s="87">
        <v>0</v>
      </c>
      <c r="Q74" s="87">
        <v>0</v>
      </c>
      <c r="R74" s="87">
        <v>6000000</v>
      </c>
      <c r="S74" s="150">
        <f>IF(D74="","-",VLOOKUP(D74,DATOS!$B$47:$C$48,2,0)-SUMIFS(P$2:P74,D$2:D74,D74))</f>
        <v>590900000</v>
      </c>
      <c r="T74" s="150">
        <f>IF(D74="","-",VLOOKUP(D74,DATOS!$B$47:$D$48,3,0)-SUMIFS(Q$2:Q74,D$2:D74,D74))</f>
        <v>706359554</v>
      </c>
      <c r="U74" s="150">
        <f>IF(D74="","-",VLOOKUP(D74,DATOS!$B$47:$E$48,4,0)-SUMIFS(R$2:R74,D$2:D74,D74))</f>
        <v>597224634</v>
      </c>
      <c r="V74" s="150">
        <f>IF(H74="","-",VLOOKUP(H74,DATOS!$D$52:$E$75,2,0)-SUMIFS(N$2:N74,H$2:H74,H74))</f>
        <v>189194077</v>
      </c>
      <c r="W74" s="79"/>
      <c r="X74" s="79"/>
      <c r="Y74" s="72" t="s">
        <v>485</v>
      </c>
      <c r="Z74" s="166" t="str">
        <f t="shared" si="31"/>
        <v>Adquisición de insumos y elementos para desarrollar los procesos y procedimientos de conservación y restauración documental en el Archivo General de la Nación. SMO_14</v>
      </c>
      <c r="AA74" s="71" t="s">
        <v>402</v>
      </c>
      <c r="AB74" s="71" t="s">
        <v>280</v>
      </c>
      <c r="AC74" s="71">
        <v>3</v>
      </c>
      <c r="AD74" s="71" t="s">
        <v>271</v>
      </c>
      <c r="AE74" s="72" t="str">
        <f t="shared" si="32"/>
        <v>Mínima cuantía</v>
      </c>
      <c r="AF74" s="72" t="str">
        <f t="shared" si="36"/>
        <v>Propios</v>
      </c>
      <c r="AG74" s="167">
        <f t="shared" si="37"/>
        <v>6000000</v>
      </c>
      <c r="AH74" s="167">
        <f t="shared" si="33"/>
        <v>6000000</v>
      </c>
      <c r="AI74" s="71" t="s">
        <v>272</v>
      </c>
      <c r="AJ74" s="71" t="s">
        <v>273</v>
      </c>
      <c r="AK74" s="72" t="s">
        <v>274</v>
      </c>
      <c r="AL74" s="71" t="s">
        <v>275</v>
      </c>
      <c r="AM74" s="72" t="s">
        <v>482</v>
      </c>
      <c r="AN74" s="72">
        <v>3282888</v>
      </c>
      <c r="AO74" s="170" t="s">
        <v>483</v>
      </c>
    </row>
    <row r="75" spans="1:41" s="88" customFormat="1" ht="99.75" customHeight="1" x14ac:dyDescent="0.3">
      <c r="A75" s="72" t="s">
        <v>443</v>
      </c>
      <c r="B75" s="72" t="s">
        <v>216</v>
      </c>
      <c r="C75" s="72" t="s">
        <v>198</v>
      </c>
      <c r="D75" s="72" t="s">
        <v>225</v>
      </c>
      <c r="E75" s="73" t="str">
        <f>IFERROR(VLOOKUP(D75,DATOS!E:F,2,0),"-")</f>
        <v>PROY2</v>
      </c>
      <c r="F75" s="72" t="s">
        <v>228</v>
      </c>
      <c r="G75" s="73" t="str">
        <f>IFERROR(VLOOKUP(F75,DATOS!G:H,2,0),"-")</f>
        <v>C_3302_1603_12_20302B_3302075</v>
      </c>
      <c r="H75" s="79" t="s">
        <v>236</v>
      </c>
      <c r="I75" s="79" t="s">
        <v>468</v>
      </c>
      <c r="J75" s="72" t="s">
        <v>173</v>
      </c>
      <c r="K75" s="79">
        <v>2</v>
      </c>
      <c r="L75" s="76">
        <f t="shared" si="9"/>
        <v>7500000</v>
      </c>
      <c r="M75" s="71">
        <v>1</v>
      </c>
      <c r="N75" s="192">
        <f t="shared" si="1"/>
        <v>15000000</v>
      </c>
      <c r="O75" s="87">
        <v>0</v>
      </c>
      <c r="P75" s="87">
        <v>0</v>
      </c>
      <c r="Q75" s="87">
        <v>0</v>
      </c>
      <c r="R75" s="87">
        <v>15000000</v>
      </c>
      <c r="S75" s="150">
        <f>IF(D75="","-",VLOOKUP(D75,DATOS!$B$47:$C$48,2,0)-SUMIFS(P$2:P75,D$2:D75,D75))</f>
        <v>590900000</v>
      </c>
      <c r="T75" s="150">
        <f>IF(D75="","-",VLOOKUP(D75,DATOS!$B$47:$D$48,3,0)-SUMIFS(Q$2:Q75,D$2:D75,D75))</f>
        <v>706359554</v>
      </c>
      <c r="U75" s="150">
        <f>IF(D75="","-",VLOOKUP(D75,DATOS!$B$47:$E$48,4,0)-SUMIFS(R$2:R75,D$2:D75,D75))</f>
        <v>582224634</v>
      </c>
      <c r="V75" s="150">
        <f>IF(H75="","-",VLOOKUP(H75,DATOS!$D$52:$E$75,2,0)-SUMIFS(N$2:N75,H$2:H75,H75))</f>
        <v>174194077</v>
      </c>
      <c r="W75" s="79"/>
      <c r="X75" s="79"/>
      <c r="Y75" s="72" t="s">
        <v>486</v>
      </c>
      <c r="Z75" s="166" t="str">
        <f t="shared" si="31"/>
        <v>Realización del mantenimiento preventivo, correctivo y el suministro de piezas, repuestos y partes que se requieran para los escáneres propiedad del Archivo General de la Nación. SMO_15</v>
      </c>
      <c r="AA75" s="71" t="s">
        <v>277</v>
      </c>
      <c r="AB75" s="71" t="s">
        <v>279</v>
      </c>
      <c r="AC75" s="71">
        <v>2</v>
      </c>
      <c r="AD75" s="71" t="s">
        <v>271</v>
      </c>
      <c r="AE75" s="72" t="str">
        <f t="shared" si="32"/>
        <v>Selección abreviada subasta inversa</v>
      </c>
      <c r="AF75" s="72" t="str">
        <f t="shared" si="36"/>
        <v>Propios</v>
      </c>
      <c r="AG75" s="167">
        <f t="shared" si="37"/>
        <v>15000000</v>
      </c>
      <c r="AH75" s="167">
        <f t="shared" si="33"/>
        <v>15000000</v>
      </c>
      <c r="AI75" s="71" t="s">
        <v>272</v>
      </c>
      <c r="AJ75" s="71" t="s">
        <v>273</v>
      </c>
      <c r="AK75" s="72" t="s">
        <v>274</v>
      </c>
      <c r="AL75" s="71" t="s">
        <v>275</v>
      </c>
      <c r="AM75" s="72" t="s">
        <v>482</v>
      </c>
      <c r="AN75" s="72">
        <v>3282888</v>
      </c>
      <c r="AO75" s="170" t="s">
        <v>483</v>
      </c>
    </row>
    <row r="76" spans="1:41" s="88" customFormat="1" ht="101.25" customHeight="1" x14ac:dyDescent="0.3">
      <c r="A76" s="89" t="s">
        <v>444</v>
      </c>
      <c r="B76" s="72" t="s">
        <v>216</v>
      </c>
      <c r="C76" s="72" t="s">
        <v>198</v>
      </c>
      <c r="D76" s="72" t="s">
        <v>225</v>
      </c>
      <c r="E76" s="73" t="str">
        <f>IFERROR(VLOOKUP(D76,DATOS!E:F,2,0),"-")</f>
        <v>PROY2</v>
      </c>
      <c r="F76" s="72" t="s">
        <v>228</v>
      </c>
      <c r="G76" s="73" t="str">
        <f>IFERROR(VLOOKUP(F76,DATOS!G:H,2,0),"-")</f>
        <v>C_3302_1603_12_20302B_3302075</v>
      </c>
      <c r="H76" s="79" t="s">
        <v>236</v>
      </c>
      <c r="I76" s="79" t="s">
        <v>469</v>
      </c>
      <c r="J76" s="72" t="s">
        <v>173</v>
      </c>
      <c r="K76" s="79">
        <v>1</v>
      </c>
      <c r="L76" s="76">
        <f t="shared" si="9"/>
        <v>36694077</v>
      </c>
      <c r="M76" s="168">
        <v>1</v>
      </c>
      <c r="N76" s="192">
        <f t="shared" si="1"/>
        <v>36694077</v>
      </c>
      <c r="O76" s="87">
        <v>0</v>
      </c>
      <c r="P76" s="87">
        <v>0</v>
      </c>
      <c r="Q76" s="87">
        <v>0</v>
      </c>
      <c r="R76" s="87">
        <v>36694077</v>
      </c>
      <c r="S76" s="150">
        <f>IF(D76="","-",VLOOKUP(D76,DATOS!$B$47:$C$48,2,0)-SUMIFS(P$2:P76,D$2:D76,D76))</f>
        <v>590900000</v>
      </c>
      <c r="T76" s="150">
        <f>IF(D76="","-",VLOOKUP(D76,DATOS!$B$47:$D$48,3,0)-SUMIFS(Q$2:Q76,D$2:D76,D76))</f>
        <v>706359554</v>
      </c>
      <c r="U76" s="150">
        <f>IF(D76="","-",VLOOKUP(D76,DATOS!$B$47:$E$48,4,0)-SUMIFS(R$2:R76,D$2:D76,D76))</f>
        <v>545530557</v>
      </c>
      <c r="V76" s="150">
        <f>IF(H76="","-",VLOOKUP(H76,DATOS!$D$52:$E$75,2,0)-SUMIFS(N$2:N76,H$2:H76,H76))</f>
        <v>137500000</v>
      </c>
      <c r="W76" s="79"/>
      <c r="X76" s="79"/>
      <c r="Y76" s="89" t="s">
        <v>487</v>
      </c>
      <c r="Z76" s="166" t="str">
        <f t="shared" si="31"/>
        <v>Renovación  y/o adquisición de las licencias según se requiera para la gestión  de las diferentes actividades del Archivo General de la Nación. SMO_16</v>
      </c>
      <c r="AA76" s="71" t="s">
        <v>277</v>
      </c>
      <c r="AB76" s="71" t="s">
        <v>279</v>
      </c>
      <c r="AC76" s="71">
        <v>1</v>
      </c>
      <c r="AD76" s="71" t="s">
        <v>271</v>
      </c>
      <c r="AE76" s="72" t="str">
        <f t="shared" si="32"/>
        <v>Selección abreviada subasta inversa</v>
      </c>
      <c r="AF76" s="72" t="str">
        <f t="shared" si="36"/>
        <v>Propios</v>
      </c>
      <c r="AG76" s="167">
        <f t="shared" si="37"/>
        <v>36694077</v>
      </c>
      <c r="AH76" s="167">
        <f t="shared" si="33"/>
        <v>36694077</v>
      </c>
      <c r="AI76" s="71" t="s">
        <v>272</v>
      </c>
      <c r="AJ76" s="71" t="s">
        <v>273</v>
      </c>
      <c r="AK76" s="72" t="s">
        <v>274</v>
      </c>
      <c r="AL76" s="71" t="s">
        <v>275</v>
      </c>
      <c r="AM76" s="72" t="s">
        <v>482</v>
      </c>
      <c r="AN76" s="72">
        <v>3282888</v>
      </c>
      <c r="AO76" s="170" t="s">
        <v>483</v>
      </c>
    </row>
    <row r="77" spans="1:41" s="88" customFormat="1" ht="87.75" customHeight="1" x14ac:dyDescent="0.3">
      <c r="A77" s="72" t="s">
        <v>445</v>
      </c>
      <c r="B77" s="72" t="s">
        <v>216</v>
      </c>
      <c r="C77" s="72" t="s">
        <v>198</v>
      </c>
      <c r="D77" s="72" t="s">
        <v>225</v>
      </c>
      <c r="E77" s="73" t="str">
        <f>IFERROR(VLOOKUP(D77,DATOS!E:F,2,0),"-")</f>
        <v>PROY2</v>
      </c>
      <c r="F77" s="72" t="s">
        <v>228</v>
      </c>
      <c r="G77" s="73" t="str">
        <f>IFERROR(VLOOKUP(F77,DATOS!G:H,2,0),"-")</f>
        <v>C_3302_1603_12_20302B_3302075</v>
      </c>
      <c r="H77" s="79" t="s">
        <v>236</v>
      </c>
      <c r="I77" s="79" t="s">
        <v>470</v>
      </c>
      <c r="J77" s="72" t="s">
        <v>167</v>
      </c>
      <c r="K77" s="79">
        <v>2</v>
      </c>
      <c r="L77" s="76">
        <f t="shared" si="9"/>
        <v>4000000</v>
      </c>
      <c r="M77" s="71">
        <v>1</v>
      </c>
      <c r="N77" s="192">
        <f t="shared" si="1"/>
        <v>8000000</v>
      </c>
      <c r="O77" s="87">
        <v>0</v>
      </c>
      <c r="P77" s="87">
        <v>5900000</v>
      </c>
      <c r="Q77" s="87">
        <v>0</v>
      </c>
      <c r="R77" s="87">
        <v>2100000</v>
      </c>
      <c r="S77" s="150">
        <f>IF(D77="","-",VLOOKUP(D77,DATOS!$B$47:$C$48,2,0)-SUMIFS(P$2:P77,D$2:D77,D77))</f>
        <v>585000000</v>
      </c>
      <c r="T77" s="150">
        <f>IF(D77="","-",VLOOKUP(D77,DATOS!$B$47:$D$48,3,0)-SUMIFS(Q$2:Q77,D$2:D77,D77))</f>
        <v>706359554</v>
      </c>
      <c r="U77" s="150">
        <f>IF(D77="","-",VLOOKUP(D77,DATOS!$B$47:$E$48,4,0)-SUMIFS(R$2:R77,D$2:D77,D77))</f>
        <v>543430557</v>
      </c>
      <c r="V77" s="150">
        <f>IF(H77="","-",VLOOKUP(H77,DATOS!$D$52:$E$75,2,0)-SUMIFS(N$2:N77,H$2:H77,H77))</f>
        <v>129500000</v>
      </c>
      <c r="W77" s="79"/>
      <c r="X77" s="79"/>
      <c r="Y77" s="72" t="s">
        <v>488</v>
      </c>
      <c r="Z77" s="166" t="str">
        <f t="shared" si="31"/>
        <v xml:space="preserve">Prestar el servicio de mantenimiento preventivo y correctivo para los equipos de digitalización de rollos de microfilm a digital propiedad del Archivo General de la Nación. SMO_18        </v>
      </c>
      <c r="AA77" s="71" t="s">
        <v>277</v>
      </c>
      <c r="AB77" s="71" t="s">
        <v>279</v>
      </c>
      <c r="AC77" s="71">
        <v>2</v>
      </c>
      <c r="AD77" s="71" t="s">
        <v>271</v>
      </c>
      <c r="AE77" s="72" t="str">
        <f t="shared" si="32"/>
        <v>Mínima cuantía</v>
      </c>
      <c r="AF77" s="72" t="str">
        <f t="shared" si="36"/>
        <v>Nación</v>
      </c>
      <c r="AG77" s="167">
        <f t="shared" si="37"/>
        <v>8000000</v>
      </c>
      <c r="AH77" s="167">
        <f t="shared" si="33"/>
        <v>8000000</v>
      </c>
      <c r="AI77" s="71" t="s">
        <v>272</v>
      </c>
      <c r="AJ77" s="71" t="s">
        <v>273</v>
      </c>
      <c r="AK77" s="72" t="s">
        <v>274</v>
      </c>
      <c r="AL77" s="71" t="s">
        <v>275</v>
      </c>
      <c r="AM77" s="72" t="s">
        <v>482</v>
      </c>
      <c r="AN77" s="72">
        <v>3282888</v>
      </c>
      <c r="AO77" s="170" t="s">
        <v>483</v>
      </c>
    </row>
    <row r="78" spans="1:41" s="88" customFormat="1" ht="90" customHeight="1" x14ac:dyDescent="0.3">
      <c r="A78" s="72" t="s">
        <v>446</v>
      </c>
      <c r="B78" s="72" t="s">
        <v>216</v>
      </c>
      <c r="C78" s="72" t="s">
        <v>198</v>
      </c>
      <c r="D78" s="72" t="s">
        <v>225</v>
      </c>
      <c r="E78" s="73" t="str">
        <f>IFERROR(VLOOKUP(D78,DATOS!E:F,2,0),"-")</f>
        <v>PROY2</v>
      </c>
      <c r="F78" s="72" t="s">
        <v>228</v>
      </c>
      <c r="G78" s="73" t="str">
        <f>IFERROR(VLOOKUP(F78,DATOS!G:H,2,0),"-")</f>
        <v>C_3302_1603_12_20302B_3302075</v>
      </c>
      <c r="H78" s="79" t="s">
        <v>236</v>
      </c>
      <c r="I78" s="79" t="s">
        <v>471</v>
      </c>
      <c r="J78" s="72" t="s">
        <v>167</v>
      </c>
      <c r="K78" s="79">
        <v>2</v>
      </c>
      <c r="L78" s="76">
        <f t="shared" si="9"/>
        <v>3000000</v>
      </c>
      <c r="M78" s="71">
        <v>1</v>
      </c>
      <c r="N78" s="192">
        <f t="shared" si="1"/>
        <v>6000000</v>
      </c>
      <c r="O78" s="87">
        <v>0</v>
      </c>
      <c r="P78" s="87"/>
      <c r="Q78" s="87">
        <v>0</v>
      </c>
      <c r="R78" s="87">
        <v>6000000</v>
      </c>
      <c r="S78" s="150">
        <f>IF(D78="","-",VLOOKUP(D78,DATOS!$B$47:$C$48,2,0)-SUMIFS(P$2:P78,D$2:D78,D78))</f>
        <v>585000000</v>
      </c>
      <c r="T78" s="150">
        <f>IF(D78="","-",VLOOKUP(D78,DATOS!$B$47:$D$48,3,0)-SUMIFS(Q$2:Q78,D$2:D78,D78))</f>
        <v>706359554</v>
      </c>
      <c r="U78" s="150">
        <f>IF(D78="","-",VLOOKUP(D78,DATOS!$B$47:$E$48,4,0)-SUMIFS(R$2:R78,D$2:D78,D78))</f>
        <v>537430557</v>
      </c>
      <c r="V78" s="150">
        <f>IF(H78="","-",VLOOKUP(H78,DATOS!$D$52:$E$75,2,0)-SUMIFS(N$2:N78,H$2:H78,H78))</f>
        <v>123500000</v>
      </c>
      <c r="W78" s="79"/>
      <c r="X78" s="79"/>
      <c r="Y78" s="72" t="s">
        <v>489</v>
      </c>
      <c r="Z78" s="166" t="str">
        <f t="shared" si="31"/>
        <v>Adquisición de elementos e insumos de laboratorio necesarios para el desarrollo de los procesos de monitoreo y conservación del acervo documental adelantados por el Archivo General de la Nación. SMO_19</v>
      </c>
      <c r="AA78" s="71" t="s">
        <v>402</v>
      </c>
      <c r="AB78" s="71" t="s">
        <v>280</v>
      </c>
      <c r="AC78" s="71">
        <v>2</v>
      </c>
      <c r="AD78" s="71" t="s">
        <v>271</v>
      </c>
      <c r="AE78" s="72" t="str">
        <f t="shared" si="32"/>
        <v>Mínima cuantía</v>
      </c>
      <c r="AF78" s="72" t="str">
        <f t="shared" si="36"/>
        <v>Propios</v>
      </c>
      <c r="AG78" s="167">
        <f t="shared" si="37"/>
        <v>6000000</v>
      </c>
      <c r="AH78" s="167">
        <f t="shared" si="33"/>
        <v>6000000</v>
      </c>
      <c r="AI78" s="71" t="s">
        <v>272</v>
      </c>
      <c r="AJ78" s="71" t="s">
        <v>273</v>
      </c>
      <c r="AK78" s="72" t="s">
        <v>274</v>
      </c>
      <c r="AL78" s="71" t="s">
        <v>275</v>
      </c>
      <c r="AM78" s="72" t="s">
        <v>482</v>
      </c>
      <c r="AN78" s="72">
        <v>3282888</v>
      </c>
      <c r="AO78" s="170" t="s">
        <v>483</v>
      </c>
    </row>
    <row r="79" spans="1:41" ht="104.25" customHeight="1" x14ac:dyDescent="0.3">
      <c r="A79" s="72" t="s">
        <v>447</v>
      </c>
      <c r="B79" s="72" t="s">
        <v>216</v>
      </c>
      <c r="C79" s="72" t="s">
        <v>198</v>
      </c>
      <c r="D79" s="72" t="s">
        <v>225</v>
      </c>
      <c r="E79" s="73" t="str">
        <f>IFERROR(VLOOKUP(D79,DATOS!E:F,2,0),"-")</f>
        <v>PROY2</v>
      </c>
      <c r="F79" s="72" t="s">
        <v>228</v>
      </c>
      <c r="G79" s="73" t="str">
        <f>IFERROR(VLOOKUP(F79,DATOS!G:H,2,0),"-")</f>
        <v>C_3302_1603_12_20302B_3302075</v>
      </c>
      <c r="H79" s="79" t="s">
        <v>236</v>
      </c>
      <c r="I79" s="79" t="s">
        <v>472</v>
      </c>
      <c r="J79" s="72" t="s">
        <v>171</v>
      </c>
      <c r="K79" s="83">
        <v>3</v>
      </c>
      <c r="L79" s="76">
        <f t="shared" si="9"/>
        <v>1666666.6666666667</v>
      </c>
      <c r="M79" s="71">
        <v>1</v>
      </c>
      <c r="N79" s="192">
        <f t="shared" si="1"/>
        <v>5000000</v>
      </c>
      <c r="O79" s="100">
        <v>0</v>
      </c>
      <c r="P79" s="100"/>
      <c r="Q79" s="100">
        <v>0</v>
      </c>
      <c r="R79" s="100">
        <v>5000000</v>
      </c>
      <c r="S79" s="150">
        <f>IF(D79="","-",VLOOKUP(D79,DATOS!$B$47:$C$48,2,0)-SUMIFS(P$2:P79,D$2:D79,D79))</f>
        <v>585000000</v>
      </c>
      <c r="T79" s="150">
        <f>IF(D79="","-",VLOOKUP(D79,DATOS!$B$47:$D$48,3,0)-SUMIFS(Q$2:Q79,D$2:D79,D79))</f>
        <v>706359554</v>
      </c>
      <c r="U79" s="150">
        <f>IF(D79="","-",VLOOKUP(D79,DATOS!$B$47:$E$48,4,0)-SUMIFS(R$2:R79,D$2:D79,D79))</f>
        <v>532430557</v>
      </c>
      <c r="V79" s="150">
        <f>IF(H79="","-",VLOOKUP(H79,DATOS!$D$52:$E$75,2,0)-SUMIFS(N$2:N79,H$2:H79,H79))</f>
        <v>118500000</v>
      </c>
      <c r="W79" s="83"/>
      <c r="X79" s="83"/>
      <c r="Y79" s="72" t="s">
        <v>490</v>
      </c>
      <c r="Z79" s="166" t="str">
        <f t="shared" si="31"/>
        <v>Realización del mantenimiento y calibración de los equipos de laboratorio propiedad del Archivo General de la Nación. SMO_20</v>
      </c>
      <c r="AA79" s="71" t="s">
        <v>277</v>
      </c>
      <c r="AB79" s="71" t="s">
        <v>279</v>
      </c>
      <c r="AC79" s="83">
        <v>3</v>
      </c>
      <c r="AD79" s="71" t="s">
        <v>271</v>
      </c>
      <c r="AE79" s="72" t="str">
        <f t="shared" si="32"/>
        <v>Selección abreviada de menor cuantía</v>
      </c>
      <c r="AF79" s="72" t="str">
        <f t="shared" si="36"/>
        <v>Propios</v>
      </c>
      <c r="AG79" s="167">
        <f t="shared" si="37"/>
        <v>5000000</v>
      </c>
      <c r="AH79" s="167">
        <f t="shared" si="33"/>
        <v>5000000</v>
      </c>
      <c r="AI79" s="71" t="s">
        <v>272</v>
      </c>
      <c r="AJ79" s="71" t="s">
        <v>273</v>
      </c>
      <c r="AK79" s="72" t="s">
        <v>274</v>
      </c>
      <c r="AL79" s="71" t="s">
        <v>275</v>
      </c>
      <c r="AM79" s="72" t="s">
        <v>482</v>
      </c>
      <c r="AN79" s="72">
        <v>3282888</v>
      </c>
      <c r="AO79" s="170" t="s">
        <v>483</v>
      </c>
    </row>
    <row r="80" spans="1:41" ht="89.25" customHeight="1" x14ac:dyDescent="0.3">
      <c r="A80" s="71" t="s">
        <v>448</v>
      </c>
      <c r="B80" s="72" t="s">
        <v>216</v>
      </c>
      <c r="C80" s="72" t="s">
        <v>198</v>
      </c>
      <c r="D80" s="72" t="s">
        <v>225</v>
      </c>
      <c r="E80" s="73" t="str">
        <f>IFERROR(VLOOKUP(D80,DATOS!E:F,2,0),"-")</f>
        <v>PROY2</v>
      </c>
      <c r="F80" s="72" t="s">
        <v>228</v>
      </c>
      <c r="G80" s="73" t="str">
        <f>IFERROR(VLOOKUP(F80,DATOS!G:H,2,0),"-")</f>
        <v>C_3302_1603_12_20302B_3302075</v>
      </c>
      <c r="H80" s="79" t="s">
        <v>236</v>
      </c>
      <c r="I80" s="79" t="s">
        <v>473</v>
      </c>
      <c r="J80" s="72" t="s">
        <v>169</v>
      </c>
      <c r="K80" s="83">
        <v>1</v>
      </c>
      <c r="L80" s="76">
        <f t="shared" si="9"/>
        <v>5000000</v>
      </c>
      <c r="M80" s="71">
        <v>1</v>
      </c>
      <c r="N80" s="192">
        <f t="shared" si="1"/>
        <v>5000000</v>
      </c>
      <c r="O80" s="100">
        <v>0</v>
      </c>
      <c r="P80" s="100"/>
      <c r="Q80" s="100">
        <v>0</v>
      </c>
      <c r="R80" s="100">
        <v>5000000</v>
      </c>
      <c r="S80" s="150">
        <f>IF(D80="","-",VLOOKUP(D80,DATOS!$B$47:$C$48,2,0)-SUMIFS(P$2:P80,D$2:D80,D80))</f>
        <v>585000000</v>
      </c>
      <c r="T80" s="150">
        <f>IF(D80="","-",VLOOKUP(D80,DATOS!$B$47:$D$48,3,0)-SUMIFS(Q$2:Q80,D$2:D80,D80))</f>
        <v>706359554</v>
      </c>
      <c r="U80" s="150">
        <f>IF(D80="","-",VLOOKUP(D80,DATOS!$B$47:$E$48,4,0)-SUMIFS(R$2:R80,D$2:D80,D80))</f>
        <v>527430557</v>
      </c>
      <c r="V80" s="150">
        <f>IF(H80="","-",VLOOKUP(H80,DATOS!$D$52:$E$75,2,0)-SUMIFS(N$2:N80,H$2:H80,H80))</f>
        <v>113500000</v>
      </c>
      <c r="W80" s="83"/>
      <c r="X80" s="83"/>
      <c r="Y80" s="72">
        <v>43211701</v>
      </c>
      <c r="Z80" s="166" t="str">
        <f t="shared" si="31"/>
        <v>Adquisición de equipos lectores de códigos de barras para atender el servicio de puestos de trabajo en el Archivo General de la Nación. SMO_21</v>
      </c>
      <c r="AA80" s="71" t="s">
        <v>277</v>
      </c>
      <c r="AB80" s="71" t="s">
        <v>279</v>
      </c>
      <c r="AC80" s="83">
        <v>1</v>
      </c>
      <c r="AD80" s="71" t="s">
        <v>271</v>
      </c>
      <c r="AE80" s="72" t="str">
        <f t="shared" si="32"/>
        <v>Selección abreviada -Acuerdo Marco</v>
      </c>
      <c r="AF80" s="72" t="str">
        <f t="shared" si="36"/>
        <v>Propios</v>
      </c>
      <c r="AG80" s="167">
        <f t="shared" si="37"/>
        <v>5000000</v>
      </c>
      <c r="AH80" s="167">
        <f t="shared" si="33"/>
        <v>5000000</v>
      </c>
      <c r="AI80" s="71" t="s">
        <v>272</v>
      </c>
      <c r="AJ80" s="71" t="s">
        <v>273</v>
      </c>
      <c r="AK80" s="72" t="s">
        <v>274</v>
      </c>
      <c r="AL80" s="71" t="s">
        <v>275</v>
      </c>
      <c r="AM80" s="72" t="s">
        <v>482</v>
      </c>
      <c r="AN80" s="72">
        <v>3282888</v>
      </c>
      <c r="AO80" s="170" t="s">
        <v>483</v>
      </c>
    </row>
    <row r="81" spans="1:41" ht="89.25" customHeight="1" x14ac:dyDescent="0.3">
      <c r="A81" s="89" t="s">
        <v>449</v>
      </c>
      <c r="B81" s="72" t="s">
        <v>216</v>
      </c>
      <c r="C81" s="72" t="s">
        <v>198</v>
      </c>
      <c r="D81" s="72" t="s">
        <v>225</v>
      </c>
      <c r="E81" s="73" t="str">
        <f>IFERROR(VLOOKUP(D81,DATOS!E:F,2,0),"-")</f>
        <v>PROY2</v>
      </c>
      <c r="F81" s="72" t="s">
        <v>228</v>
      </c>
      <c r="G81" s="73" t="str">
        <f>IFERROR(VLOOKUP(F81,DATOS!G:H,2,0),"-")</f>
        <v>C_3302_1603_12_20302B_3302075</v>
      </c>
      <c r="H81" s="79" t="s">
        <v>236</v>
      </c>
      <c r="I81" s="79" t="s">
        <v>474</v>
      </c>
      <c r="J81" s="72" t="s">
        <v>167</v>
      </c>
      <c r="K81" s="83">
        <v>1</v>
      </c>
      <c r="L81" s="76">
        <f t="shared" si="9"/>
        <v>3000000</v>
      </c>
      <c r="M81" s="168">
        <v>1</v>
      </c>
      <c r="N81" s="192">
        <f t="shared" si="1"/>
        <v>3000000</v>
      </c>
      <c r="O81" s="100">
        <v>0</v>
      </c>
      <c r="P81" s="100"/>
      <c r="Q81" s="100">
        <v>0</v>
      </c>
      <c r="R81" s="100">
        <v>3000000</v>
      </c>
      <c r="S81" s="150">
        <f>IF(D81="","-",VLOOKUP(D81,DATOS!$B$47:$C$48,2,0)-SUMIFS(P$2:P81,D$2:D81,D81))</f>
        <v>585000000</v>
      </c>
      <c r="T81" s="150">
        <f>IF(D81="","-",VLOOKUP(D81,DATOS!$B$47:$D$48,3,0)-SUMIFS(Q$2:Q81,D$2:D81,D81))</f>
        <v>706359554</v>
      </c>
      <c r="U81" s="150">
        <f>IF(D81="","-",VLOOKUP(D81,DATOS!$B$47:$E$48,4,0)-SUMIFS(R$2:R81,D$2:D81,D81))</f>
        <v>524430557</v>
      </c>
      <c r="V81" s="150">
        <f>IF(H81="","-",VLOOKUP(H81,DATOS!$D$52:$E$75,2,0)-SUMIFS(N$2:N81,H$2:H81,H81))</f>
        <v>110500000</v>
      </c>
      <c r="W81" s="83"/>
      <c r="X81" s="83"/>
      <c r="Y81" s="89">
        <v>44103103</v>
      </c>
      <c r="Z81" s="166" t="str">
        <f t="shared" si="31"/>
        <v>Adquisición de los consumibles de impresión para los diferentes tipos de impresoras propiedad del Archivo General de la Nación.SMO_22</v>
      </c>
      <c r="AA81" s="71" t="s">
        <v>494</v>
      </c>
      <c r="AB81" s="71" t="s">
        <v>280</v>
      </c>
      <c r="AC81" s="83">
        <v>1</v>
      </c>
      <c r="AD81" s="71" t="s">
        <v>271</v>
      </c>
      <c r="AE81" s="72" t="str">
        <f t="shared" si="32"/>
        <v>Mínima cuantía</v>
      </c>
      <c r="AF81" s="72" t="str">
        <f t="shared" si="36"/>
        <v>Propios</v>
      </c>
      <c r="AG81" s="167">
        <f t="shared" si="37"/>
        <v>3000000</v>
      </c>
      <c r="AH81" s="167">
        <f t="shared" si="33"/>
        <v>3000000</v>
      </c>
      <c r="AI81" s="71" t="s">
        <v>272</v>
      </c>
      <c r="AJ81" s="71" t="s">
        <v>273</v>
      </c>
      <c r="AK81" s="72" t="s">
        <v>274</v>
      </c>
      <c r="AL81" s="71" t="s">
        <v>275</v>
      </c>
      <c r="AM81" s="72" t="s">
        <v>482</v>
      </c>
      <c r="AN81" s="72">
        <v>3282888</v>
      </c>
      <c r="AO81" s="170" t="s">
        <v>483</v>
      </c>
    </row>
    <row r="82" spans="1:41" ht="89.25" customHeight="1" x14ac:dyDescent="0.3">
      <c r="A82" s="89" t="s">
        <v>450</v>
      </c>
      <c r="B82" s="72" t="s">
        <v>216</v>
      </c>
      <c r="C82" s="72" t="s">
        <v>198</v>
      </c>
      <c r="D82" s="72" t="s">
        <v>225</v>
      </c>
      <c r="E82" s="73" t="str">
        <f>IFERROR(VLOOKUP(D82,DATOS!E:F,2,0),"-")</f>
        <v>PROY2</v>
      </c>
      <c r="F82" s="72" t="s">
        <v>228</v>
      </c>
      <c r="G82" s="73" t="str">
        <f>IFERROR(VLOOKUP(F82,DATOS!G:H,2,0),"-")</f>
        <v>C_3302_1603_12_20302B_3302075</v>
      </c>
      <c r="H82" s="79" t="s">
        <v>236</v>
      </c>
      <c r="I82" s="79" t="s">
        <v>475</v>
      </c>
      <c r="J82" s="72" t="s">
        <v>169</v>
      </c>
      <c r="K82" s="111">
        <v>2</v>
      </c>
      <c r="L82" s="76">
        <f t="shared" si="9"/>
        <v>15000000</v>
      </c>
      <c r="M82" s="168">
        <v>1</v>
      </c>
      <c r="N82" s="192">
        <f t="shared" si="1"/>
        <v>30000000</v>
      </c>
      <c r="O82" s="100">
        <v>0</v>
      </c>
      <c r="P82" s="100"/>
      <c r="Q82" s="200">
        <v>0</v>
      </c>
      <c r="R82" s="100">
        <v>30000000</v>
      </c>
      <c r="S82" s="150">
        <f>IF(D82="","-",VLOOKUP(D82,DATOS!$B$47:$C$48,2,0)-SUMIFS(P$2:P82,D$2:D82,D82))</f>
        <v>585000000</v>
      </c>
      <c r="T82" s="150">
        <f>IF(D82="","-",VLOOKUP(D82,DATOS!$B$47:$D$48,3,0)-SUMIFS(Q$2:Q82,D$2:D82,D82))</f>
        <v>706359554</v>
      </c>
      <c r="U82" s="150">
        <f>IF(D82="","-",VLOOKUP(D82,DATOS!$B$47:$E$48,4,0)-SUMIFS(R$2:R82,D$2:D82,D82))</f>
        <v>494430557</v>
      </c>
      <c r="V82" s="150">
        <f>IF(H82="","-",VLOOKUP(H82,DATOS!$D$52:$E$75,2,0)-SUMIFS(N$2:N82,H$2:H82,H82))</f>
        <v>80500000</v>
      </c>
      <c r="W82" s="83"/>
      <c r="X82" s="83"/>
      <c r="Y82" s="89">
        <v>43211507</v>
      </c>
      <c r="Z82" s="166" t="str">
        <f t="shared" si="31"/>
        <v>Adquisición de equipos de cómputo y accesorios tecnológicos para el Archivo General de la Nación. SMO_23</v>
      </c>
      <c r="AA82" s="71" t="s">
        <v>277</v>
      </c>
      <c r="AB82" s="71" t="s">
        <v>279</v>
      </c>
      <c r="AC82" s="83">
        <v>2</v>
      </c>
      <c r="AD82" s="71" t="s">
        <v>271</v>
      </c>
      <c r="AE82" s="72" t="str">
        <f t="shared" si="32"/>
        <v>Selección abreviada -Acuerdo Marco</v>
      </c>
      <c r="AF82" s="72" t="str">
        <f t="shared" si="36"/>
        <v>Propios</v>
      </c>
      <c r="AG82" s="167">
        <f t="shared" si="37"/>
        <v>30000000</v>
      </c>
      <c r="AH82" s="167">
        <f t="shared" si="33"/>
        <v>30000000</v>
      </c>
      <c r="AI82" s="71" t="s">
        <v>272</v>
      </c>
      <c r="AJ82" s="71" t="s">
        <v>273</v>
      </c>
      <c r="AK82" s="72" t="s">
        <v>274</v>
      </c>
      <c r="AL82" s="71" t="s">
        <v>275</v>
      </c>
      <c r="AM82" s="72" t="s">
        <v>482</v>
      </c>
      <c r="AN82" s="72">
        <v>3282888</v>
      </c>
      <c r="AO82" s="170" t="s">
        <v>483</v>
      </c>
    </row>
    <row r="83" spans="1:41" ht="89.25" customHeight="1" x14ac:dyDescent="0.3">
      <c r="A83" s="72" t="s">
        <v>451</v>
      </c>
      <c r="B83" s="72" t="s">
        <v>216</v>
      </c>
      <c r="C83" s="72" t="s">
        <v>198</v>
      </c>
      <c r="D83" s="72" t="s">
        <v>225</v>
      </c>
      <c r="E83" s="73" t="str">
        <f>IFERROR(VLOOKUP(D83,DATOS!E:F,2,0),"-")</f>
        <v>PROY2</v>
      </c>
      <c r="F83" s="72" t="s">
        <v>228</v>
      </c>
      <c r="G83" s="73" t="str">
        <f>IFERROR(VLOOKUP(F83,DATOS!G:H,2,0),"-")</f>
        <v>C_3302_1603_12_20302B_3302075</v>
      </c>
      <c r="H83" s="79" t="s">
        <v>236</v>
      </c>
      <c r="I83" s="79" t="s">
        <v>476</v>
      </c>
      <c r="J83" s="72" t="s">
        <v>167</v>
      </c>
      <c r="K83" s="83">
        <v>1</v>
      </c>
      <c r="L83" s="76">
        <f t="shared" si="9"/>
        <v>5000000</v>
      </c>
      <c r="M83" s="71">
        <v>1</v>
      </c>
      <c r="N83" s="192">
        <f t="shared" si="1"/>
        <v>5000000</v>
      </c>
      <c r="O83" s="100">
        <v>0</v>
      </c>
      <c r="P83" s="100">
        <v>5000000</v>
      </c>
      <c r="Q83" s="100">
        <v>0</v>
      </c>
      <c r="R83" s="100">
        <v>0</v>
      </c>
      <c r="S83" s="150">
        <f>IF(D83="","-",VLOOKUP(D83,DATOS!$B$47:$C$48,2,0)-SUMIFS(P$2:P83,D$2:D83,D83))</f>
        <v>580000000</v>
      </c>
      <c r="T83" s="150">
        <f>IF(D83="","-",VLOOKUP(D83,DATOS!$B$47:$D$48,3,0)-SUMIFS(Q$2:Q83,D$2:D83,D83))</f>
        <v>706359554</v>
      </c>
      <c r="U83" s="150">
        <f>IF(D83="","-",VLOOKUP(D83,DATOS!$B$47:$E$48,4,0)-SUMIFS(R$2:R83,D$2:D83,D83))</f>
        <v>494430557</v>
      </c>
      <c r="V83" s="150">
        <f>IF(H83="","-",VLOOKUP(H83,DATOS!$D$52:$E$75,2,0)-SUMIFS(N$2:N83,H$2:H83,H83))</f>
        <v>75500000</v>
      </c>
      <c r="W83" s="83"/>
      <c r="X83" s="83"/>
      <c r="Y83" s="72" t="s">
        <v>491</v>
      </c>
      <c r="Z83" s="166" t="str">
        <f t="shared" si="31"/>
        <v>Adquisición de equipos especializados para realizar las actividades tendientes a la conservación y restauración documental por parte del Archivo General de la Nación. SMO24</v>
      </c>
      <c r="AA83" s="71" t="s">
        <v>277</v>
      </c>
      <c r="AB83" s="71" t="s">
        <v>279</v>
      </c>
      <c r="AC83" s="83">
        <v>1</v>
      </c>
      <c r="AD83" s="71" t="s">
        <v>271</v>
      </c>
      <c r="AE83" s="72" t="str">
        <f t="shared" si="32"/>
        <v>Mínima cuantía</v>
      </c>
      <c r="AF83" s="72" t="str">
        <f t="shared" si="36"/>
        <v>Nación</v>
      </c>
      <c r="AG83" s="167">
        <f t="shared" si="37"/>
        <v>5000000</v>
      </c>
      <c r="AH83" s="167">
        <f t="shared" si="33"/>
        <v>5000000</v>
      </c>
      <c r="AI83" s="71" t="s">
        <v>272</v>
      </c>
      <c r="AJ83" s="71" t="s">
        <v>273</v>
      </c>
      <c r="AK83" s="72" t="s">
        <v>274</v>
      </c>
      <c r="AL83" s="71" t="s">
        <v>275</v>
      </c>
      <c r="AM83" s="72" t="s">
        <v>482</v>
      </c>
      <c r="AN83" s="72">
        <v>3282888</v>
      </c>
      <c r="AO83" s="170" t="s">
        <v>483</v>
      </c>
    </row>
    <row r="84" spans="1:41" ht="96.6" x14ac:dyDescent="0.3">
      <c r="A84" s="72" t="s">
        <v>452</v>
      </c>
      <c r="B84" s="72" t="s">
        <v>216</v>
      </c>
      <c r="C84" s="72" t="s">
        <v>198</v>
      </c>
      <c r="D84" s="72" t="s">
        <v>225</v>
      </c>
      <c r="E84" s="73" t="str">
        <f>IFERROR(VLOOKUP(D84,DATOS!E:F,2,0),"-")</f>
        <v>PROY2</v>
      </c>
      <c r="F84" s="72" t="s">
        <v>228</v>
      </c>
      <c r="G84" s="73" t="str">
        <f>IFERROR(VLOOKUP(F84,DATOS!G:H,2,0),"-")</f>
        <v>C_3302_1603_12_20302B_3302075</v>
      </c>
      <c r="H84" s="79" t="s">
        <v>236</v>
      </c>
      <c r="I84" s="79" t="s">
        <v>477</v>
      </c>
      <c r="J84" s="72" t="s">
        <v>167</v>
      </c>
      <c r="K84" s="83">
        <v>1</v>
      </c>
      <c r="L84" s="76">
        <f t="shared" si="9"/>
        <v>4000000</v>
      </c>
      <c r="M84" s="71">
        <v>1</v>
      </c>
      <c r="N84" s="192">
        <f t="shared" si="1"/>
        <v>4000000</v>
      </c>
      <c r="O84" s="100">
        <v>0</v>
      </c>
      <c r="P84" s="100"/>
      <c r="Q84" s="100">
        <v>0</v>
      </c>
      <c r="R84" s="100">
        <v>4000000</v>
      </c>
      <c r="S84" s="150">
        <f>IF(D84="","-",VLOOKUP(D84,DATOS!$B$47:$C$48,2,0)-SUMIFS(P$2:P84,D$2:D84,D84))</f>
        <v>580000000</v>
      </c>
      <c r="T84" s="150">
        <f>IF(D84="","-",VLOOKUP(D84,DATOS!$B$47:$D$48,3,0)-SUMIFS(Q$2:Q84,D$2:D84,D84))</f>
        <v>706359554</v>
      </c>
      <c r="U84" s="150">
        <f>IF(D84="","-",VLOOKUP(D84,DATOS!$B$47:$E$48,4,0)-SUMIFS(R$2:R84,D$2:D84,D84))</f>
        <v>490430557</v>
      </c>
      <c r="V84" s="150">
        <f>IF(H84="","-",VLOOKUP(H84,DATOS!$D$52:$E$75,2,0)-SUMIFS(N$2:N84,H$2:H84,H84))</f>
        <v>71500000</v>
      </c>
      <c r="W84" s="83"/>
      <c r="X84" s="83"/>
      <c r="Y84" s="72">
        <v>24101508</v>
      </c>
      <c r="Z84" s="166" t="str">
        <f t="shared" si="31"/>
        <v>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v>
      </c>
      <c r="AA84" s="71" t="s">
        <v>277</v>
      </c>
      <c r="AB84" s="71" t="s">
        <v>279</v>
      </c>
      <c r="AC84" s="83">
        <v>1</v>
      </c>
      <c r="AD84" s="71" t="s">
        <v>271</v>
      </c>
      <c r="AE84" s="72" t="str">
        <f t="shared" si="32"/>
        <v>Mínima cuantía</v>
      </c>
      <c r="AF84" s="72" t="str">
        <f t="shared" si="36"/>
        <v>Propios</v>
      </c>
      <c r="AG84" s="167">
        <f t="shared" si="37"/>
        <v>4000000</v>
      </c>
      <c r="AH84" s="167">
        <f t="shared" si="33"/>
        <v>4000000</v>
      </c>
      <c r="AI84" s="71" t="s">
        <v>272</v>
      </c>
      <c r="AJ84" s="71" t="s">
        <v>273</v>
      </c>
      <c r="AK84" s="72" t="s">
        <v>274</v>
      </c>
      <c r="AL84" s="71" t="s">
        <v>275</v>
      </c>
      <c r="AM84" s="72" t="s">
        <v>482</v>
      </c>
      <c r="AN84" s="72">
        <v>3282888</v>
      </c>
      <c r="AO84" s="170" t="s">
        <v>483</v>
      </c>
    </row>
    <row r="85" spans="1:41" ht="89.25" customHeight="1" x14ac:dyDescent="0.3">
      <c r="A85" s="72" t="s">
        <v>453</v>
      </c>
      <c r="B85" s="72" t="s">
        <v>216</v>
      </c>
      <c r="C85" s="72" t="s">
        <v>198</v>
      </c>
      <c r="D85" s="72" t="s">
        <v>225</v>
      </c>
      <c r="E85" s="73" t="str">
        <f>IFERROR(VLOOKUP(D85,DATOS!E:F,2,0),"-")</f>
        <v>PROY2</v>
      </c>
      <c r="F85" s="72" t="s">
        <v>228</v>
      </c>
      <c r="G85" s="73" t="str">
        <f>IFERROR(VLOOKUP(F85,DATOS!G:H,2,0),"-")</f>
        <v>C_3302_1603_12_20302B_3302075</v>
      </c>
      <c r="H85" s="79" t="s">
        <v>236</v>
      </c>
      <c r="I85" s="79" t="s">
        <v>478</v>
      </c>
      <c r="J85" s="72" t="s">
        <v>167</v>
      </c>
      <c r="K85" s="83">
        <v>1</v>
      </c>
      <c r="L85" s="76">
        <f t="shared" si="9"/>
        <v>2500000</v>
      </c>
      <c r="M85" s="71">
        <v>1</v>
      </c>
      <c r="N85" s="192">
        <f t="shared" si="1"/>
        <v>2500000</v>
      </c>
      <c r="O85" s="100">
        <v>0</v>
      </c>
      <c r="P85" s="100"/>
      <c r="Q85" s="100">
        <v>0</v>
      </c>
      <c r="R85" s="100">
        <v>2500000</v>
      </c>
      <c r="S85" s="150">
        <f>IF(D85="","-",VLOOKUP(D85,DATOS!$B$47:$C$48,2,0)-SUMIFS(P$2:P85,D$2:D85,D85))</f>
        <v>580000000</v>
      </c>
      <c r="T85" s="150">
        <f>IF(D85="","-",VLOOKUP(D85,DATOS!$B$47:$D$48,3,0)-SUMIFS(Q$2:Q85,D$2:D85,D85))</f>
        <v>706359554</v>
      </c>
      <c r="U85" s="150">
        <f>IF(D85="","-",VLOOKUP(D85,DATOS!$B$47:$E$48,4,0)-SUMIFS(R$2:R85,D$2:D85,D85))</f>
        <v>487930557</v>
      </c>
      <c r="V85" s="150">
        <f>IF(H85="","-",VLOOKUP(H85,DATOS!$D$52:$E$75,2,0)-SUMIFS(N$2:N85,H$2:H85,H85))</f>
        <v>69000000</v>
      </c>
      <c r="W85" s="83"/>
      <c r="X85" s="83"/>
      <c r="Y85" s="72" t="s">
        <v>492</v>
      </c>
      <c r="Z85" s="166" t="str">
        <f t="shared" si="31"/>
        <v>Compra de elementos de papelería para el Archivo General de la Nación.  SMO_26</v>
      </c>
      <c r="AA85" s="71" t="s">
        <v>277</v>
      </c>
      <c r="AB85" s="71" t="s">
        <v>279</v>
      </c>
      <c r="AC85" s="83">
        <v>1</v>
      </c>
      <c r="AD85" s="71" t="s">
        <v>271</v>
      </c>
      <c r="AE85" s="72" t="str">
        <f t="shared" si="32"/>
        <v>Mínima cuantía</v>
      </c>
      <c r="AF85" s="72" t="str">
        <f t="shared" si="36"/>
        <v>Propios</v>
      </c>
      <c r="AG85" s="167">
        <f t="shared" si="37"/>
        <v>2500000</v>
      </c>
      <c r="AH85" s="167">
        <f t="shared" si="33"/>
        <v>2500000</v>
      </c>
      <c r="AI85" s="71" t="s">
        <v>272</v>
      </c>
      <c r="AJ85" s="71" t="s">
        <v>273</v>
      </c>
      <c r="AK85" s="72" t="s">
        <v>274</v>
      </c>
      <c r="AL85" s="71" t="s">
        <v>275</v>
      </c>
      <c r="AM85" s="72" t="s">
        <v>482</v>
      </c>
      <c r="AN85" s="72">
        <v>3282888</v>
      </c>
      <c r="AO85" s="170" t="s">
        <v>483</v>
      </c>
    </row>
    <row r="86" spans="1:41" ht="112.5" customHeight="1" x14ac:dyDescent="0.3">
      <c r="A86" s="72" t="s">
        <v>574</v>
      </c>
      <c r="B86" s="72" t="s">
        <v>216</v>
      </c>
      <c r="C86" s="72" t="s">
        <v>198</v>
      </c>
      <c r="D86" s="72" t="s">
        <v>225</v>
      </c>
      <c r="E86" s="73" t="str">
        <f>IFERROR(VLOOKUP(D86,DATOS!E:F,2,0),"-")</f>
        <v>PROY2</v>
      </c>
      <c r="F86" s="72" t="s">
        <v>228</v>
      </c>
      <c r="G86" s="73" t="str">
        <f>IFERROR(VLOOKUP(F86,DATOS!G:H,2,0),"-")</f>
        <v>C_3302_1603_12_20302B_3302075</v>
      </c>
      <c r="H86" s="79" t="s">
        <v>236</v>
      </c>
      <c r="I86" s="79" t="s">
        <v>479</v>
      </c>
      <c r="J86" s="72" t="s">
        <v>164</v>
      </c>
      <c r="K86" s="83"/>
      <c r="L86" s="76" t="e">
        <f t="shared" si="9"/>
        <v>#DIV/0!</v>
      </c>
      <c r="M86" s="71">
        <v>1</v>
      </c>
      <c r="N86" s="192">
        <f t="shared" si="1"/>
        <v>40000000</v>
      </c>
      <c r="O86" s="100">
        <v>0</v>
      </c>
      <c r="P86" s="100"/>
      <c r="Q86" s="100">
        <v>0</v>
      </c>
      <c r="R86" s="100">
        <v>40000000</v>
      </c>
      <c r="S86" s="150">
        <f>IF(D86="","-",VLOOKUP(D86,DATOS!$B$47:$C$48,2,0)-SUMIFS(P$2:P86,D$2:D86,D86))</f>
        <v>580000000</v>
      </c>
      <c r="T86" s="150">
        <f>IF(D86="","-",VLOOKUP(D86,DATOS!$B$47:$D$48,3,0)-SUMIFS(Q$2:Q86,D$2:D86,D86))</f>
        <v>706359554</v>
      </c>
      <c r="U86" s="150">
        <f>IF(D86="","-",VLOOKUP(D86,DATOS!$B$47:$E$48,4,0)-SUMIFS(R$2:R86,D$2:D86,D86))</f>
        <v>447930557</v>
      </c>
      <c r="V86" s="150">
        <f>IF(H86="","-",VLOOKUP(H86,DATOS!$D$52:$E$75,2,0)-SUMIFS(N$2:N86,H$2:H86,H86))</f>
        <v>29000000</v>
      </c>
      <c r="W86" s="83"/>
      <c r="X86" s="72" t="s">
        <v>495</v>
      </c>
      <c r="Y86" s="72" t="s">
        <v>493</v>
      </c>
      <c r="Z86" s="166" t="str">
        <f t="shared" si="31"/>
        <v xml:space="preserve">Contratar los intereses patrimoniales actuales y futuros, así como los bienes de propiedad del AGN Jorge Palacios Preciado, que estén bajo su responsabilidad y custodia y aquellos que sean adquiridos para realizar funciones </v>
      </c>
      <c r="AA86" s="71" t="s">
        <v>292</v>
      </c>
      <c r="AB86" s="71" t="s">
        <v>292</v>
      </c>
      <c r="AC86" s="83">
        <v>10</v>
      </c>
      <c r="AD86" s="71" t="s">
        <v>271</v>
      </c>
      <c r="AE86" s="72" t="str">
        <f t="shared" si="32"/>
        <v>Licitación pública</v>
      </c>
      <c r="AF86" s="72" t="str">
        <f t="shared" si="36"/>
        <v>Propios</v>
      </c>
      <c r="AG86" s="167">
        <f t="shared" si="37"/>
        <v>40000000</v>
      </c>
      <c r="AH86" s="167">
        <f t="shared" si="33"/>
        <v>40000000</v>
      </c>
      <c r="AI86" s="71" t="s">
        <v>272</v>
      </c>
      <c r="AJ86" s="71" t="s">
        <v>273</v>
      </c>
      <c r="AK86" s="72" t="s">
        <v>274</v>
      </c>
      <c r="AL86" s="71" t="s">
        <v>275</v>
      </c>
      <c r="AM86" s="72" t="s">
        <v>482</v>
      </c>
      <c r="AN86" s="72">
        <v>3282888</v>
      </c>
      <c r="AO86" s="170" t="s">
        <v>483</v>
      </c>
    </row>
    <row r="87" spans="1:41" ht="108.75" customHeight="1" x14ac:dyDescent="0.3">
      <c r="A87" s="72" t="s">
        <v>295</v>
      </c>
      <c r="B87" s="72" t="s">
        <v>216</v>
      </c>
      <c r="C87" s="72" t="s">
        <v>198</v>
      </c>
      <c r="D87" s="72" t="s">
        <v>225</v>
      </c>
      <c r="E87" s="73" t="str">
        <f>IFERROR(VLOOKUP(D87,DATOS!E:F,2,0),"-")</f>
        <v>PROY2</v>
      </c>
      <c r="F87" s="72" t="s">
        <v>228</v>
      </c>
      <c r="G87" s="73" t="str">
        <f>IFERROR(VLOOKUP(F87,DATOS!G:H,2,0),"-")</f>
        <v>C_3302_1603_12_20302B_3302075</v>
      </c>
      <c r="H87" s="79" t="s">
        <v>236</v>
      </c>
      <c r="I87" s="79" t="s">
        <v>480</v>
      </c>
      <c r="J87" s="79"/>
      <c r="K87" s="83"/>
      <c r="L87" s="76"/>
      <c r="M87" s="71" t="s">
        <v>324</v>
      </c>
      <c r="N87" s="192">
        <f t="shared" si="1"/>
        <v>13000000</v>
      </c>
      <c r="O87" s="100">
        <v>0</v>
      </c>
      <c r="P87" s="100"/>
      <c r="Q87" s="100">
        <v>0</v>
      </c>
      <c r="R87" s="100">
        <v>13000000</v>
      </c>
      <c r="S87" s="150">
        <f>IF(D87="","-",VLOOKUP(D87,DATOS!$B$47:$C$48,2,0)-SUMIFS(P$2:P87,D$2:D87,D87))</f>
        <v>580000000</v>
      </c>
      <c r="T87" s="150">
        <f>IF(D87="","-",VLOOKUP(D87,DATOS!$B$47:$D$48,3,0)-SUMIFS(Q$2:Q87,D$2:D87,D87))</f>
        <v>706359554</v>
      </c>
      <c r="U87" s="150">
        <f>IF(D87="","-",VLOOKUP(D87,DATOS!$B$47:$E$48,4,0)-SUMIFS(R$2:R87,D$2:D87,D87))</f>
        <v>434930557</v>
      </c>
      <c r="V87" s="150">
        <f>IF(H87="","-",VLOOKUP(H87,DATOS!$D$52:$E$75,2,0)-SUMIFS(N$2:N87,H$2:H87,H87))</f>
        <v>16000000</v>
      </c>
      <c r="W87" s="83"/>
      <c r="X87" s="71" t="s">
        <v>295</v>
      </c>
      <c r="Y87" s="72"/>
      <c r="Z87" s="166"/>
      <c r="AA87" s="71"/>
      <c r="AB87" s="71"/>
      <c r="AC87" s="83"/>
      <c r="AD87" s="71"/>
      <c r="AE87" s="72"/>
      <c r="AF87" s="72"/>
      <c r="AG87" s="167"/>
      <c r="AH87" s="167"/>
      <c r="AI87" s="71"/>
      <c r="AJ87" s="71"/>
      <c r="AK87" s="72"/>
      <c r="AL87" s="71"/>
      <c r="AM87" s="72"/>
      <c r="AN87" s="72"/>
      <c r="AO87" s="170"/>
    </row>
    <row r="88" spans="1:41" ht="102.75" customHeight="1" x14ac:dyDescent="0.3">
      <c r="A88" s="72" t="s">
        <v>454</v>
      </c>
      <c r="B88" s="72" t="s">
        <v>216</v>
      </c>
      <c r="C88" s="72" t="s">
        <v>198</v>
      </c>
      <c r="D88" s="72" t="s">
        <v>225</v>
      </c>
      <c r="E88" s="73" t="str">
        <f>IFERROR(VLOOKUP(D88,DATOS!E:F,2,0),"-")</f>
        <v>PROY2</v>
      </c>
      <c r="F88" s="72" t="s">
        <v>228</v>
      </c>
      <c r="G88" s="73" t="str">
        <f>IFERROR(VLOOKUP(F88,DATOS!G:H,2,0),"-")</f>
        <v>C_3302_1603_12_20302B_3302075</v>
      </c>
      <c r="H88" s="79" t="s">
        <v>236</v>
      </c>
      <c r="I88" s="79" t="s">
        <v>481</v>
      </c>
      <c r="J88" s="72" t="s">
        <v>171</v>
      </c>
      <c r="K88" s="71">
        <v>10</v>
      </c>
      <c r="L88" s="76">
        <f t="shared" si="9"/>
        <v>1600000</v>
      </c>
      <c r="M88" s="71">
        <v>1</v>
      </c>
      <c r="N88" s="192">
        <f t="shared" si="1"/>
        <v>16000000</v>
      </c>
      <c r="O88" s="100">
        <v>0</v>
      </c>
      <c r="P88" s="100"/>
      <c r="Q88" s="100">
        <v>0</v>
      </c>
      <c r="R88" s="100">
        <v>16000000</v>
      </c>
      <c r="S88" s="150">
        <f>IF(D88="","-",VLOOKUP(D88,DATOS!$B$47:$C$48,2,0)-SUMIFS(P$2:P88,D$2:D88,D88))</f>
        <v>580000000</v>
      </c>
      <c r="T88" s="150">
        <f>IF(D88="","-",VLOOKUP(D88,DATOS!$B$47:$D$48,3,0)-SUMIFS(Q$2:Q88,D$2:D88,D88))</f>
        <v>706359554</v>
      </c>
      <c r="U88" s="150">
        <f>IF(D88="","-",VLOOKUP(D88,DATOS!$B$47:$E$48,4,0)-SUMIFS(R$2:R88,D$2:D88,D88))</f>
        <v>418930557</v>
      </c>
      <c r="V88" s="150">
        <f>IF(H88="","-",VLOOKUP(H88,DATOS!$D$52:$E$75,2,0)-SUMIFS(N$2:N88,H$2:H88,H88))</f>
        <v>0</v>
      </c>
      <c r="W88" s="83"/>
      <c r="X88" s="71" t="s">
        <v>296</v>
      </c>
      <c r="Y88" s="72" t="s">
        <v>545</v>
      </c>
      <c r="Z88" s="166" t="str">
        <f t="shared" ref="Z88:Z118" si="38">IF(I88="","",I88)</f>
        <v>Prestar el servicio de suministro de tiquetes aéreos a nivel nacional e internacional, en tarifas económicas y en los horarios requeridos por el Archivo General de la Nación Jorge Palacios Preciado</v>
      </c>
      <c r="AA88" s="71" t="s">
        <v>278</v>
      </c>
      <c r="AB88" s="71" t="s">
        <v>278</v>
      </c>
      <c r="AC88" s="83">
        <v>10</v>
      </c>
      <c r="AD88" s="71" t="s">
        <v>271</v>
      </c>
      <c r="AE88" s="72" t="str">
        <f t="shared" ref="AE88:AE119" si="39">IF(J88="","",J88)</f>
        <v>Selección abreviada de menor cuantía</v>
      </c>
      <c r="AF88" s="72" t="str">
        <f t="shared" si="36"/>
        <v>Propios</v>
      </c>
      <c r="AG88" s="167">
        <f t="shared" si="37"/>
        <v>16000000</v>
      </c>
      <c r="AH88" s="167">
        <f t="shared" ref="AH88:AH118" si="40">IF(N88="","",N88)</f>
        <v>16000000</v>
      </c>
      <c r="AI88" s="71" t="s">
        <v>272</v>
      </c>
      <c r="AJ88" s="71" t="s">
        <v>273</v>
      </c>
      <c r="AK88" s="72" t="s">
        <v>274</v>
      </c>
      <c r="AL88" s="71" t="s">
        <v>275</v>
      </c>
      <c r="AM88" s="72" t="s">
        <v>482</v>
      </c>
      <c r="AN88" s="72">
        <v>3282888</v>
      </c>
      <c r="AO88" s="170" t="s">
        <v>483</v>
      </c>
    </row>
    <row r="89" spans="1:41" ht="101.25" customHeight="1" x14ac:dyDescent="0.3">
      <c r="A89" s="83" t="s">
        <v>549</v>
      </c>
      <c r="B89" s="72" t="s">
        <v>209</v>
      </c>
      <c r="C89" s="72" t="s">
        <v>212</v>
      </c>
      <c r="D89" s="72" t="s">
        <v>225</v>
      </c>
      <c r="E89" s="73" t="str">
        <f>IFERROR(VLOOKUP(D89,DATOS!E:F,2,0),"-")</f>
        <v>PROY2</v>
      </c>
      <c r="F89" s="72" t="s">
        <v>172</v>
      </c>
      <c r="G89" s="73" t="str">
        <f>IFERROR(VLOOKUP(F89,DATOS!G:H,2,0),"-")</f>
        <v>C_3302_1603_12_20302B_3302077</v>
      </c>
      <c r="H89" s="79" t="s">
        <v>182</v>
      </c>
      <c r="I89" s="72" t="s">
        <v>590</v>
      </c>
      <c r="J89" s="72" t="s">
        <v>161</v>
      </c>
      <c r="K89" s="83">
        <v>10</v>
      </c>
      <c r="L89" s="76">
        <f t="shared" si="9"/>
        <v>3600000</v>
      </c>
      <c r="M89" s="83">
        <v>5</v>
      </c>
      <c r="N89" s="192">
        <f t="shared" si="1"/>
        <v>180000000</v>
      </c>
      <c r="O89" s="100"/>
      <c r="P89" s="100">
        <v>180000000</v>
      </c>
      <c r="Q89" s="100"/>
      <c r="R89" s="100"/>
      <c r="S89" s="150">
        <f>IF(D89="","-",VLOOKUP(D89,DATOS!$B$47:$C$48,2,0)-SUMIFS(P$2:P89,D$2:D89,D89))</f>
        <v>400000000</v>
      </c>
      <c r="T89" s="150">
        <f>IF(D89="","-",VLOOKUP(D89,DATOS!$B$47:$D$48,3,0)-SUMIFS(Q$2:Q89,D$2:D89,D89))</f>
        <v>706359554</v>
      </c>
      <c r="U89" s="150">
        <f>IF(D89="","-",VLOOKUP(D89,DATOS!$B$47:$E$48,4,0)-SUMIFS(R$2:R89,D$2:D89,D89))</f>
        <v>418930557</v>
      </c>
      <c r="V89" s="150">
        <f>IF(H89="","-",VLOOKUP(H89,DATOS!$D$52:$E$75,2,0)-SUMIFS(N$2:N89,H$2:H89,H89))</f>
        <v>270000000</v>
      </c>
      <c r="W89" s="83"/>
      <c r="X89" s="83"/>
      <c r="Y89" s="72" t="s">
        <v>600</v>
      </c>
      <c r="Z89" s="166" t="str">
        <f t="shared" si="38"/>
        <v>Elaboración de Instrumentos archivísticos de recuperación y acceso a información sobre contenidos de fondos documentales histótricos que custodia el AGN. GOR1</v>
      </c>
      <c r="AA89" s="71" t="s">
        <v>292</v>
      </c>
      <c r="AB89" s="71" t="s">
        <v>278</v>
      </c>
      <c r="AC89" s="83">
        <v>10</v>
      </c>
      <c r="AD89" s="71" t="s">
        <v>271</v>
      </c>
      <c r="AE89" s="72" t="str">
        <f t="shared" si="39"/>
        <v>Contratación directa</v>
      </c>
      <c r="AF89" s="72" t="str">
        <f t="shared" ref="AF89:AF114" si="41">IF(SUM(O89:R89)=0,"-",IF(SUM(O89:P89)&gt;=SUM(Q89:R89),"Nación","Propios"))</f>
        <v>Nación</v>
      </c>
      <c r="AG89" s="167">
        <f t="shared" ref="AG89:AG114" si="42">AH89</f>
        <v>180000000</v>
      </c>
      <c r="AH89" s="167">
        <f t="shared" si="40"/>
        <v>180000000</v>
      </c>
      <c r="AI89" s="71" t="s">
        <v>272</v>
      </c>
      <c r="AJ89" s="71" t="s">
        <v>273</v>
      </c>
      <c r="AK89" s="72" t="s">
        <v>274</v>
      </c>
      <c r="AL89" s="71" t="s">
        <v>275</v>
      </c>
      <c r="AM89" s="72" t="s">
        <v>598</v>
      </c>
      <c r="AN89" s="72">
        <v>3282888</v>
      </c>
      <c r="AO89" s="180" t="s">
        <v>599</v>
      </c>
    </row>
    <row r="90" spans="1:41" ht="105" customHeight="1" x14ac:dyDescent="0.3">
      <c r="A90" s="83" t="s">
        <v>550</v>
      </c>
      <c r="B90" s="72" t="s">
        <v>209</v>
      </c>
      <c r="C90" s="72" t="s">
        <v>212</v>
      </c>
      <c r="D90" s="72" t="s">
        <v>225</v>
      </c>
      <c r="E90" s="73" t="str">
        <f>IFERROR(VLOOKUP(D90,DATOS!E:F,2,0),"-")</f>
        <v>PROY2</v>
      </c>
      <c r="F90" s="72" t="s">
        <v>172</v>
      </c>
      <c r="G90" s="73" t="str">
        <f>IFERROR(VLOOKUP(F90,DATOS!G:H,2,0),"-")</f>
        <v>C_3302_1603_12_20302B_3302077</v>
      </c>
      <c r="H90" s="79" t="s">
        <v>182</v>
      </c>
      <c r="I90" s="72" t="s">
        <v>591</v>
      </c>
      <c r="J90" s="72" t="s">
        <v>161</v>
      </c>
      <c r="K90" s="83">
        <v>10</v>
      </c>
      <c r="L90" s="76">
        <f t="shared" ref="L90:L154" si="43">(N90/M90)/K90</f>
        <v>3300000</v>
      </c>
      <c r="M90" s="83">
        <v>5</v>
      </c>
      <c r="N90" s="192">
        <f t="shared" si="1"/>
        <v>165000000</v>
      </c>
      <c r="O90" s="100"/>
      <c r="P90" s="100">
        <v>100000000</v>
      </c>
      <c r="Q90" s="100">
        <v>65000000</v>
      </c>
      <c r="R90" s="100"/>
      <c r="S90" s="150">
        <f>IF(D90="","-",VLOOKUP(D90,DATOS!$B$47:$C$48,2,0)-SUMIFS(P$2:P90,D$2:D90,D90))</f>
        <v>300000000</v>
      </c>
      <c r="T90" s="150">
        <f>IF(D90="","-",VLOOKUP(D90,DATOS!$B$47:$D$48,3,0)-SUMIFS(Q$2:Q90,D$2:D90,D90))</f>
        <v>641359554</v>
      </c>
      <c r="U90" s="150">
        <f>IF(D90="","-",VLOOKUP(D90,DATOS!$B$47:$E$48,4,0)-SUMIFS(R$2:R90,D$2:D90,D90))</f>
        <v>418930557</v>
      </c>
      <c r="V90" s="150">
        <f>IF(H90="","-",VLOOKUP(H90,DATOS!$D$52:$E$75,2,0)-SUMIFS(N$2:N90,H$2:H90,H90))</f>
        <v>105000000</v>
      </c>
      <c r="W90" s="83"/>
      <c r="X90" s="83"/>
      <c r="Y90" s="72" t="s">
        <v>600</v>
      </c>
      <c r="Z90" s="166" t="str">
        <f t="shared" si="38"/>
        <v>Realizar los procesos reprográficos (digitalización en cama plana) de documentos históricos del acervo documental del Archivo General de la Nación. GOR2</v>
      </c>
      <c r="AA90" s="71" t="s">
        <v>292</v>
      </c>
      <c r="AB90" s="71" t="s">
        <v>278</v>
      </c>
      <c r="AC90" s="83">
        <v>10</v>
      </c>
      <c r="AD90" s="71" t="s">
        <v>271</v>
      </c>
      <c r="AE90" s="72" t="str">
        <f t="shared" si="39"/>
        <v>Contratación directa</v>
      </c>
      <c r="AF90" s="72" t="str">
        <f t="shared" si="41"/>
        <v>Nación</v>
      </c>
      <c r="AG90" s="167">
        <f t="shared" si="42"/>
        <v>165000000</v>
      </c>
      <c r="AH90" s="167">
        <f t="shared" si="40"/>
        <v>165000000</v>
      </c>
      <c r="AI90" s="71" t="s">
        <v>272</v>
      </c>
      <c r="AJ90" s="71" t="s">
        <v>273</v>
      </c>
      <c r="AK90" s="72" t="s">
        <v>274</v>
      </c>
      <c r="AL90" s="71" t="s">
        <v>275</v>
      </c>
      <c r="AM90" s="72" t="s">
        <v>598</v>
      </c>
      <c r="AN90" s="72">
        <v>3282888</v>
      </c>
      <c r="AO90" s="180" t="s">
        <v>599</v>
      </c>
    </row>
    <row r="91" spans="1:41" ht="108" customHeight="1" x14ac:dyDescent="0.3">
      <c r="A91" s="83" t="s">
        <v>551</v>
      </c>
      <c r="B91" s="72" t="s">
        <v>209</v>
      </c>
      <c r="C91" s="72" t="s">
        <v>212</v>
      </c>
      <c r="D91" s="72" t="s">
        <v>225</v>
      </c>
      <c r="E91" s="73" t="str">
        <f>IFERROR(VLOOKUP(D91,DATOS!E:F,2,0),"-")</f>
        <v>PROY2</v>
      </c>
      <c r="F91" s="72" t="s">
        <v>172</v>
      </c>
      <c r="G91" s="73" t="str">
        <f>IFERROR(VLOOKUP(F91,DATOS!G:H,2,0),"-")</f>
        <v>C_3302_1603_12_20302B_3302077</v>
      </c>
      <c r="H91" s="79" t="s">
        <v>182</v>
      </c>
      <c r="I91" s="72" t="s">
        <v>820</v>
      </c>
      <c r="J91" s="72" t="s">
        <v>161</v>
      </c>
      <c r="K91" s="83">
        <v>10</v>
      </c>
      <c r="L91" s="76">
        <f t="shared" si="43"/>
        <v>3000000</v>
      </c>
      <c r="M91" s="83">
        <v>1</v>
      </c>
      <c r="N91" s="192">
        <f t="shared" ref="N91:N155" si="44">IF(SUM(O91:R91)=0,"-",SUM(O91:R91))</f>
        <v>30000000</v>
      </c>
      <c r="O91" s="101"/>
      <c r="P91" s="101">
        <v>30000000</v>
      </c>
      <c r="Q91" s="100"/>
      <c r="R91" s="100"/>
      <c r="S91" s="150">
        <f>IF(D91="","-",VLOOKUP(D91,DATOS!$B$47:$C$48,2,0)-SUMIFS(P$2:P91,D$2:D91,D91))</f>
        <v>270000000</v>
      </c>
      <c r="T91" s="150">
        <f>IF(D91="","-",VLOOKUP(D91,DATOS!$B$47:$D$48,3,0)-SUMIFS(Q$2:Q91,D$2:D91,D91))</f>
        <v>641359554</v>
      </c>
      <c r="U91" s="150">
        <f>IF(D91="","-",VLOOKUP(D91,DATOS!$B$47:$E$48,4,0)-SUMIFS(R$2:R91,D$2:D91,D91))</f>
        <v>418930557</v>
      </c>
      <c r="V91" s="150">
        <f>IF(H91="","-",VLOOKUP(H91,DATOS!$D$52:$E$75,2,0)-SUMIFS(N$2:N91,H$2:H91,H91))</f>
        <v>75000000</v>
      </c>
      <c r="W91" s="83"/>
      <c r="X91" s="83"/>
      <c r="Y91" s="72" t="s">
        <v>600</v>
      </c>
      <c r="Z91" s="166" t="str">
        <f t="shared" si="38"/>
        <v>Realizar el inventario y el control de calidad de las imágenes resultado del proceso de reprografía del AGN y hacer el traslado de los documentos en los diferentes repositorios de la entidad. GOR3</v>
      </c>
      <c r="AA91" s="71" t="s">
        <v>292</v>
      </c>
      <c r="AB91" s="71" t="s">
        <v>278</v>
      </c>
      <c r="AC91" s="83">
        <v>10</v>
      </c>
      <c r="AD91" s="71" t="s">
        <v>271</v>
      </c>
      <c r="AE91" s="72" t="str">
        <f t="shared" si="39"/>
        <v>Contratación directa</v>
      </c>
      <c r="AF91" s="72" t="str">
        <f t="shared" si="41"/>
        <v>Nación</v>
      </c>
      <c r="AG91" s="167">
        <f t="shared" si="42"/>
        <v>30000000</v>
      </c>
      <c r="AH91" s="167">
        <f t="shared" si="40"/>
        <v>30000000</v>
      </c>
      <c r="AI91" s="71" t="s">
        <v>272</v>
      </c>
      <c r="AJ91" s="71" t="s">
        <v>273</v>
      </c>
      <c r="AK91" s="72" t="s">
        <v>274</v>
      </c>
      <c r="AL91" s="71" t="s">
        <v>275</v>
      </c>
      <c r="AM91" s="72" t="s">
        <v>598</v>
      </c>
      <c r="AN91" s="72">
        <v>3282888</v>
      </c>
      <c r="AO91" s="180" t="s">
        <v>599</v>
      </c>
    </row>
    <row r="92" spans="1:41" ht="107.25" customHeight="1" x14ac:dyDescent="0.3">
      <c r="A92" s="83" t="s">
        <v>552</v>
      </c>
      <c r="B92" s="72" t="s">
        <v>209</v>
      </c>
      <c r="C92" s="72" t="s">
        <v>212</v>
      </c>
      <c r="D92" s="72" t="s">
        <v>225</v>
      </c>
      <c r="E92" s="73" t="str">
        <f>IFERROR(VLOOKUP(D92,DATOS!E:F,2,0),"-")</f>
        <v>PROY2</v>
      </c>
      <c r="F92" s="72" t="s">
        <v>172</v>
      </c>
      <c r="G92" s="73" t="str">
        <f>IFERROR(VLOOKUP(F92,DATOS!G:H,2,0),"-")</f>
        <v>C_3302_1603_12_20302B_3302077</v>
      </c>
      <c r="H92" s="79" t="s">
        <v>182</v>
      </c>
      <c r="I92" s="72" t="s">
        <v>592</v>
      </c>
      <c r="J92" s="72" t="s">
        <v>171</v>
      </c>
      <c r="K92" s="83">
        <v>10</v>
      </c>
      <c r="L92" s="76">
        <f t="shared" si="43"/>
        <v>7500000</v>
      </c>
      <c r="M92" s="83">
        <v>1</v>
      </c>
      <c r="N92" s="192">
        <f t="shared" si="44"/>
        <v>75000000</v>
      </c>
      <c r="O92" s="100"/>
      <c r="P92" s="100"/>
      <c r="Q92" s="100">
        <v>75000000</v>
      </c>
      <c r="R92" s="100"/>
      <c r="S92" s="150">
        <f>IF(D92="","-",VLOOKUP(D92,DATOS!$B$47:$C$48,2,0)-SUMIFS(P$2:P92,D$2:D92,D92))</f>
        <v>270000000</v>
      </c>
      <c r="T92" s="150">
        <f>IF(D92="","-",VLOOKUP(D92,DATOS!$B$47:$D$48,3,0)-SUMIFS(Q$2:Q92,D$2:D92,D92))</f>
        <v>566359554</v>
      </c>
      <c r="U92" s="150">
        <f>IF(D92="","-",VLOOKUP(D92,DATOS!$B$47:$E$48,4,0)-SUMIFS(R$2:R92,D$2:D92,D92))</f>
        <v>418930557</v>
      </c>
      <c r="V92" s="150">
        <f>IF(H92="","-",VLOOKUP(H92,DATOS!$D$52:$E$75,2,0)-SUMIFS(N$2:N92,H$2:H92,H92))</f>
        <v>0</v>
      </c>
      <c r="W92" s="83"/>
      <c r="X92" s="83"/>
      <c r="Y92" s="72" t="s">
        <v>617</v>
      </c>
      <c r="Z92" s="166" t="str">
        <f t="shared" si="38"/>
        <v>Alquiler y compra de equipos para reprografia y digitalizacion, impresoras multimedia (impresión,digitalización y fotocopiado) de alimentacion automatica y cama plana varios formatos. GOR4</v>
      </c>
      <c r="AA92" s="71" t="s">
        <v>292</v>
      </c>
      <c r="AB92" s="71" t="s">
        <v>278</v>
      </c>
      <c r="AC92" s="83">
        <v>10</v>
      </c>
      <c r="AD92" s="71" t="s">
        <v>271</v>
      </c>
      <c r="AE92" s="72" t="str">
        <f t="shared" si="39"/>
        <v>Selección abreviada de menor cuantía</v>
      </c>
      <c r="AF92" s="72" t="str">
        <f t="shared" si="41"/>
        <v>Propios</v>
      </c>
      <c r="AG92" s="167">
        <f t="shared" si="42"/>
        <v>75000000</v>
      </c>
      <c r="AH92" s="167">
        <f t="shared" si="40"/>
        <v>75000000</v>
      </c>
      <c r="AI92" s="71" t="s">
        <v>272</v>
      </c>
      <c r="AJ92" s="71" t="s">
        <v>273</v>
      </c>
      <c r="AK92" s="72" t="s">
        <v>274</v>
      </c>
      <c r="AL92" s="71" t="s">
        <v>275</v>
      </c>
      <c r="AM92" s="72" t="s">
        <v>598</v>
      </c>
      <c r="AN92" s="72">
        <v>3282888</v>
      </c>
      <c r="AO92" s="180" t="s">
        <v>599</v>
      </c>
    </row>
    <row r="93" spans="1:41" ht="103.5" customHeight="1" x14ac:dyDescent="0.3">
      <c r="A93" s="83" t="s">
        <v>553</v>
      </c>
      <c r="B93" s="72" t="s">
        <v>209</v>
      </c>
      <c r="C93" s="72" t="s">
        <v>210</v>
      </c>
      <c r="D93" s="72" t="s">
        <v>225</v>
      </c>
      <c r="E93" s="73" t="str">
        <f>IFERROR(VLOOKUP(D93,DATOS!E:F,2,0),"-")</f>
        <v>PROY2</v>
      </c>
      <c r="F93" s="72" t="s">
        <v>172</v>
      </c>
      <c r="G93" s="73" t="str">
        <f>IFERROR(VLOOKUP(F93,DATOS!G:H,2,0),"-")</f>
        <v>C_3302_1603_12_20302B_3302077</v>
      </c>
      <c r="H93" s="79" t="s">
        <v>181</v>
      </c>
      <c r="I93" s="72" t="s">
        <v>576</v>
      </c>
      <c r="J93" s="72" t="s">
        <v>161</v>
      </c>
      <c r="K93" s="83">
        <v>10</v>
      </c>
      <c r="L93" s="76">
        <f t="shared" si="43"/>
        <v>5000000</v>
      </c>
      <c r="M93" s="83">
        <v>1</v>
      </c>
      <c r="N93" s="192">
        <f t="shared" si="44"/>
        <v>50000000</v>
      </c>
      <c r="O93" s="100"/>
      <c r="P93" s="100">
        <v>50000000</v>
      </c>
      <c r="Q93" s="100"/>
      <c r="R93" s="100"/>
      <c r="S93" s="150">
        <f>IF(D93="","-",VLOOKUP(D93,DATOS!$B$47:$C$48,2,0)-SUMIFS(P$2:P93,D$2:D93,D93))</f>
        <v>220000000</v>
      </c>
      <c r="T93" s="150">
        <f>IF(D93="","-",VLOOKUP(D93,DATOS!$B$47:$D$48,3,0)-SUMIFS(Q$2:Q93,D$2:D93,D93))</f>
        <v>566359554</v>
      </c>
      <c r="U93" s="150">
        <f>IF(D93="","-",VLOOKUP(D93,DATOS!$B$47:$E$48,4,0)-SUMIFS(R$2:R93,D$2:D93,D93))</f>
        <v>418930557</v>
      </c>
      <c r="V93" s="150">
        <f>IF(H93="","-",VLOOKUP(H93,DATOS!$D$52:$E$75,2,0)-SUMIFS(N$2:N93,H$2:H93,H93))</f>
        <v>296000000</v>
      </c>
      <c r="W93" s="83"/>
      <c r="X93" s="83"/>
      <c r="Y93" s="72" t="s">
        <v>600</v>
      </c>
      <c r="Z93" s="166" t="str">
        <f t="shared" si="38"/>
        <v>Restaurar folios con deterioro medio y alto pertenecientes al patrimonio documental del país. GCR1</v>
      </c>
      <c r="AA93" s="71" t="s">
        <v>292</v>
      </c>
      <c r="AB93" s="71" t="s">
        <v>278</v>
      </c>
      <c r="AC93" s="83">
        <v>10</v>
      </c>
      <c r="AD93" s="71" t="s">
        <v>271</v>
      </c>
      <c r="AE93" s="72" t="str">
        <f t="shared" si="39"/>
        <v>Contratación directa</v>
      </c>
      <c r="AF93" s="72" t="str">
        <f t="shared" si="41"/>
        <v>Nación</v>
      </c>
      <c r="AG93" s="167">
        <f t="shared" si="42"/>
        <v>50000000</v>
      </c>
      <c r="AH93" s="167">
        <f t="shared" si="40"/>
        <v>50000000</v>
      </c>
      <c r="AI93" s="71" t="s">
        <v>272</v>
      </c>
      <c r="AJ93" s="71" t="s">
        <v>273</v>
      </c>
      <c r="AK93" s="72" t="s">
        <v>274</v>
      </c>
      <c r="AL93" s="71" t="s">
        <v>275</v>
      </c>
      <c r="AM93" s="72" t="s">
        <v>598</v>
      </c>
      <c r="AN93" s="72">
        <v>3282888</v>
      </c>
      <c r="AO93" s="180" t="s">
        <v>599</v>
      </c>
    </row>
    <row r="94" spans="1:41" ht="107.25" customHeight="1" x14ac:dyDescent="0.3">
      <c r="A94" s="83" t="s">
        <v>554</v>
      </c>
      <c r="B94" s="72" t="s">
        <v>209</v>
      </c>
      <c r="C94" s="72" t="s">
        <v>210</v>
      </c>
      <c r="D94" s="72" t="s">
        <v>225</v>
      </c>
      <c r="E94" s="73" t="str">
        <f>IFERROR(VLOOKUP(D94,DATOS!E:F,2,0),"-")</f>
        <v>PROY2</v>
      </c>
      <c r="F94" s="72" t="s">
        <v>172</v>
      </c>
      <c r="G94" s="73" t="str">
        <f>IFERROR(VLOOKUP(F94,DATOS!G:H,2,0),"-")</f>
        <v>C_3302_1603_12_20302B_3302077</v>
      </c>
      <c r="H94" s="79" t="s">
        <v>181</v>
      </c>
      <c r="I94" s="72" t="s">
        <v>593</v>
      </c>
      <c r="J94" s="72" t="s">
        <v>161</v>
      </c>
      <c r="K94" s="83">
        <v>10</v>
      </c>
      <c r="L94" s="76">
        <f t="shared" si="43"/>
        <v>3500000</v>
      </c>
      <c r="M94" s="83">
        <v>2</v>
      </c>
      <c r="N94" s="192">
        <f t="shared" si="44"/>
        <v>70000000</v>
      </c>
      <c r="O94" s="100"/>
      <c r="P94" s="100"/>
      <c r="Q94" s="100">
        <v>70000000</v>
      </c>
      <c r="R94" s="100"/>
      <c r="S94" s="150">
        <f>IF(D94="","-",VLOOKUP(D94,DATOS!$B$47:$C$48,2,0)-SUMIFS(P$2:P94,D$2:D94,D94))</f>
        <v>220000000</v>
      </c>
      <c r="T94" s="150">
        <f>IF(D94="","-",VLOOKUP(D94,DATOS!$B$47:$D$48,3,0)-SUMIFS(Q$2:Q94,D$2:D94,D94))</f>
        <v>496359554</v>
      </c>
      <c r="U94" s="150">
        <f>IF(D94="","-",VLOOKUP(D94,DATOS!$B$47:$E$48,4,0)-SUMIFS(R$2:R94,D$2:D94,D94))</f>
        <v>418930557</v>
      </c>
      <c r="V94" s="150">
        <f>IF(H94="","-",VLOOKUP(H94,DATOS!$D$52:$E$75,2,0)-SUMIFS(N$2:N94,H$2:H94,H94))</f>
        <v>226000000</v>
      </c>
      <c r="W94" s="83"/>
      <c r="X94" s="83"/>
      <c r="Y94" s="72" t="s">
        <v>600</v>
      </c>
      <c r="Z94" s="166" t="str">
        <f t="shared" si="38"/>
        <v>Realizar la eliminación de material particulado y desinfección de documentos del acervo documental custodiado por el AGN ubicado en las distintas sedes o que se reciba para recuperación. GCR2</v>
      </c>
      <c r="AA94" s="71" t="s">
        <v>292</v>
      </c>
      <c r="AB94" s="71" t="s">
        <v>278</v>
      </c>
      <c r="AC94" s="83">
        <v>10</v>
      </c>
      <c r="AD94" s="71" t="s">
        <v>271</v>
      </c>
      <c r="AE94" s="72" t="str">
        <f t="shared" si="39"/>
        <v>Contratación directa</v>
      </c>
      <c r="AF94" s="72" t="str">
        <f t="shared" si="41"/>
        <v>Propios</v>
      </c>
      <c r="AG94" s="167">
        <f t="shared" si="42"/>
        <v>70000000</v>
      </c>
      <c r="AH94" s="167">
        <f t="shared" si="40"/>
        <v>70000000</v>
      </c>
      <c r="AI94" s="71" t="s">
        <v>272</v>
      </c>
      <c r="AJ94" s="71" t="s">
        <v>273</v>
      </c>
      <c r="AK94" s="72" t="s">
        <v>274</v>
      </c>
      <c r="AL94" s="71" t="s">
        <v>275</v>
      </c>
      <c r="AM94" s="72" t="s">
        <v>598</v>
      </c>
      <c r="AN94" s="72">
        <v>3282888</v>
      </c>
      <c r="AO94" s="180" t="s">
        <v>599</v>
      </c>
    </row>
    <row r="95" spans="1:41" ht="120" customHeight="1" x14ac:dyDescent="0.3">
      <c r="A95" s="83" t="s">
        <v>555</v>
      </c>
      <c r="B95" s="72" t="s">
        <v>209</v>
      </c>
      <c r="C95" s="72" t="s">
        <v>210</v>
      </c>
      <c r="D95" s="72" t="s">
        <v>225</v>
      </c>
      <c r="E95" s="73" t="str">
        <f>IFERROR(VLOOKUP(D95,DATOS!E:F,2,0),"-")</f>
        <v>PROY2</v>
      </c>
      <c r="F95" s="72" t="s">
        <v>172</v>
      </c>
      <c r="G95" s="73" t="str">
        <f>IFERROR(VLOOKUP(F95,DATOS!G:H,2,0),"-")</f>
        <v>C_3302_1603_12_20302B_3302077</v>
      </c>
      <c r="H95" s="79" t="s">
        <v>181</v>
      </c>
      <c r="I95" s="72" t="s">
        <v>807</v>
      </c>
      <c r="J95" s="72" t="s">
        <v>161</v>
      </c>
      <c r="K95" s="83">
        <v>8</v>
      </c>
      <c r="L95" s="76">
        <f t="shared" si="43"/>
        <v>3125000</v>
      </c>
      <c r="M95" s="83">
        <v>1</v>
      </c>
      <c r="N95" s="192">
        <f t="shared" si="44"/>
        <v>25000000</v>
      </c>
      <c r="O95" s="100"/>
      <c r="P95" s="100">
        <v>25000000</v>
      </c>
      <c r="Q95" s="100"/>
      <c r="R95" s="100"/>
      <c r="S95" s="150">
        <f>IF(D95="","-",VLOOKUP(D95,DATOS!$B$47:$C$48,2,0)-SUMIFS(P$2:P95,D$2:D95,D95))</f>
        <v>195000000</v>
      </c>
      <c r="T95" s="150">
        <f>IF(D95="","-",VLOOKUP(D95,DATOS!$B$47:$D$48,3,0)-SUMIFS(Q$2:Q95,D$2:D95,D95))</f>
        <v>496359554</v>
      </c>
      <c r="U95" s="150">
        <f>IF(D95="","-",VLOOKUP(D95,DATOS!$B$47:$E$48,4,0)-SUMIFS(R$2:R95,D$2:D95,D95))</f>
        <v>418930557</v>
      </c>
      <c r="V95" s="150">
        <f>IF(H95="","-",VLOOKUP(H95,DATOS!$D$52:$E$75,2,0)-SUMIFS(N$2:N95,H$2:H95,H95))</f>
        <v>201000000</v>
      </c>
      <c r="W95" s="83"/>
      <c r="X95" s="83"/>
      <c r="Y95" s="72" t="s">
        <v>600</v>
      </c>
      <c r="Z95" s="205" t="str">
        <f t="shared" si="38"/>
        <v xml:space="preserve">
Prestación de servicios de apoyo a la gestión para procesos de intervención en encuadernaciones de tomos y legajos del acervo documental del Archivo General de la Nación y elaboración de unidades de almacenamiento especiales de conservación.GCR3
</v>
      </c>
      <c r="AA95" s="71" t="s">
        <v>292</v>
      </c>
      <c r="AB95" s="71" t="s">
        <v>278</v>
      </c>
      <c r="AC95" s="83">
        <v>8</v>
      </c>
      <c r="AD95" s="71" t="s">
        <v>271</v>
      </c>
      <c r="AE95" s="72" t="str">
        <f t="shared" si="39"/>
        <v>Contratación directa</v>
      </c>
      <c r="AF95" s="72" t="str">
        <f t="shared" si="41"/>
        <v>Nación</v>
      </c>
      <c r="AG95" s="167">
        <f t="shared" si="42"/>
        <v>25000000</v>
      </c>
      <c r="AH95" s="167">
        <f t="shared" si="40"/>
        <v>25000000</v>
      </c>
      <c r="AI95" s="71" t="s">
        <v>272</v>
      </c>
      <c r="AJ95" s="71" t="s">
        <v>273</v>
      </c>
      <c r="AK95" s="72" t="s">
        <v>274</v>
      </c>
      <c r="AL95" s="71" t="s">
        <v>275</v>
      </c>
      <c r="AM95" s="72" t="s">
        <v>598</v>
      </c>
      <c r="AN95" s="72">
        <v>3282888</v>
      </c>
      <c r="AO95" s="180" t="s">
        <v>599</v>
      </c>
    </row>
    <row r="96" spans="1:41" ht="140.25" customHeight="1" x14ac:dyDescent="0.3">
      <c r="A96" s="83" t="s">
        <v>575</v>
      </c>
      <c r="B96" s="72" t="s">
        <v>209</v>
      </c>
      <c r="C96" s="72" t="s">
        <v>210</v>
      </c>
      <c r="D96" s="72" t="s">
        <v>225</v>
      </c>
      <c r="E96" s="73" t="str">
        <f>IFERROR(VLOOKUP(D96,DATOS!E:F,2,0),"-")</f>
        <v>PROY2</v>
      </c>
      <c r="F96" s="72" t="s">
        <v>172</v>
      </c>
      <c r="G96" s="73" t="str">
        <f>IFERROR(VLOOKUP(F96,DATOS!G:H,2,0),"-")</f>
        <v>C_3302_1603_12_20302B_3302077</v>
      </c>
      <c r="H96" s="79" t="s">
        <v>181</v>
      </c>
      <c r="I96" s="72" t="s">
        <v>577</v>
      </c>
      <c r="J96" s="72" t="s">
        <v>161</v>
      </c>
      <c r="K96" s="83">
        <v>3</v>
      </c>
      <c r="L96" s="76">
        <f t="shared" si="43"/>
        <v>6666666.666666667</v>
      </c>
      <c r="M96" s="83">
        <v>1</v>
      </c>
      <c r="N96" s="192">
        <f t="shared" si="44"/>
        <v>20000000</v>
      </c>
      <c r="O96" s="100"/>
      <c r="P96" s="100"/>
      <c r="Q96" s="100">
        <v>20000000</v>
      </c>
      <c r="R96" s="100"/>
      <c r="S96" s="150">
        <f>IF(D96="","-",VLOOKUP(D96,DATOS!$B$47:$C$48,2,0)-SUMIFS(P$2:P96,D$2:D96,D96))</f>
        <v>195000000</v>
      </c>
      <c r="T96" s="150">
        <f>IF(D96="","-",VLOOKUP(D96,DATOS!$B$47:$D$48,3,0)-SUMIFS(Q$2:Q96,D$2:D96,D96))</f>
        <v>476359554</v>
      </c>
      <c r="U96" s="150">
        <f>IF(D96="","-",VLOOKUP(D96,DATOS!$B$47:$E$48,4,0)-SUMIFS(R$2:R96,D$2:D96,D96))</f>
        <v>418930557</v>
      </c>
      <c r="V96" s="150">
        <f>IF(H96="","-",VLOOKUP(H96,DATOS!$D$52:$E$75,2,0)-SUMIFS(N$2:N96,H$2:H96,H96))</f>
        <v>181000000</v>
      </c>
      <c r="W96" s="83"/>
      <c r="X96" s="83"/>
      <c r="Y96" s="72" t="s">
        <v>601</v>
      </c>
      <c r="Z96" s="166" t="str">
        <f t="shared" si="38"/>
        <v>Adquirir a título de compraventa papeles especiales para la restauración documental GCR4</v>
      </c>
      <c r="AA96" s="71" t="s">
        <v>278</v>
      </c>
      <c r="AB96" s="71" t="s">
        <v>278</v>
      </c>
      <c r="AC96" s="83">
        <v>3</v>
      </c>
      <c r="AD96" s="71" t="s">
        <v>271</v>
      </c>
      <c r="AE96" s="72" t="str">
        <f t="shared" si="39"/>
        <v>Contratación directa</v>
      </c>
      <c r="AF96" s="72" t="str">
        <f t="shared" si="41"/>
        <v>Propios</v>
      </c>
      <c r="AG96" s="167">
        <f t="shared" si="42"/>
        <v>20000000</v>
      </c>
      <c r="AH96" s="167">
        <f t="shared" si="40"/>
        <v>20000000</v>
      </c>
      <c r="AI96" s="71" t="s">
        <v>272</v>
      </c>
      <c r="AJ96" s="71" t="s">
        <v>273</v>
      </c>
      <c r="AK96" s="72" t="s">
        <v>274</v>
      </c>
      <c r="AL96" s="71" t="s">
        <v>275</v>
      </c>
      <c r="AM96" s="72" t="s">
        <v>598</v>
      </c>
      <c r="AN96" s="72">
        <v>3282888</v>
      </c>
      <c r="AO96" s="180" t="s">
        <v>599</v>
      </c>
    </row>
    <row r="97" spans="1:41" ht="109.5" customHeight="1" x14ac:dyDescent="0.3">
      <c r="A97" s="83" t="s">
        <v>556</v>
      </c>
      <c r="B97" s="72" t="s">
        <v>209</v>
      </c>
      <c r="C97" s="72" t="s">
        <v>210</v>
      </c>
      <c r="D97" s="72" t="s">
        <v>225</v>
      </c>
      <c r="E97" s="73" t="str">
        <f>IFERROR(VLOOKUP(D97,DATOS!E:F,2,0),"-")</f>
        <v>PROY2</v>
      </c>
      <c r="F97" s="72" t="s">
        <v>172</v>
      </c>
      <c r="G97" s="73" t="str">
        <f>IFERROR(VLOOKUP(F97,DATOS!G:H,2,0),"-")</f>
        <v>C_3302_1603_12_20302B_3302077</v>
      </c>
      <c r="H97" s="79" t="s">
        <v>181</v>
      </c>
      <c r="I97" s="89" t="s">
        <v>578</v>
      </c>
      <c r="J97" s="72" t="s">
        <v>167</v>
      </c>
      <c r="K97" s="83">
        <v>5</v>
      </c>
      <c r="L97" s="76">
        <f t="shared" si="43"/>
        <v>11600000</v>
      </c>
      <c r="M97" s="83">
        <v>1</v>
      </c>
      <c r="N97" s="192">
        <f t="shared" si="44"/>
        <v>58000000</v>
      </c>
      <c r="O97" s="100"/>
      <c r="P97" s="100"/>
      <c r="Q97" s="100">
        <v>58000000</v>
      </c>
      <c r="R97" s="100"/>
      <c r="S97" s="150">
        <f>IF(D97="","-",VLOOKUP(D97,DATOS!$B$47:$C$48,2,0)-SUMIFS(P$2:P97,D$2:D97,D97))</f>
        <v>195000000</v>
      </c>
      <c r="T97" s="150">
        <f>IF(D97="","-",VLOOKUP(D97,DATOS!$B$47:$D$48,3,0)-SUMIFS(Q$2:Q97,D$2:D97,D97))</f>
        <v>418359554</v>
      </c>
      <c r="U97" s="150">
        <f>IF(D97="","-",VLOOKUP(D97,DATOS!$B$47:$E$48,4,0)-SUMIFS(R$2:R97,D$2:D97,D97))</f>
        <v>418930557</v>
      </c>
      <c r="V97" s="150">
        <f>IF(H97="","-",VLOOKUP(H97,DATOS!$D$52:$E$75,2,0)-SUMIFS(N$2:N97,H$2:H97,H97))</f>
        <v>123000000</v>
      </c>
      <c r="W97" s="83"/>
      <c r="X97" s="83"/>
      <c r="Y97" s="78" t="s">
        <v>618</v>
      </c>
      <c r="Z97" s="166" t="str">
        <f t="shared" si="38"/>
        <v>Adquirir a título de compraventa mobiliario para archivo planoteca de gran formato, carror para muestras microbiologicas, escalera auxiliar y rolloteca GCR5</v>
      </c>
      <c r="AA97" s="71" t="s">
        <v>402</v>
      </c>
      <c r="AB97" s="71" t="s">
        <v>280</v>
      </c>
      <c r="AC97" s="83">
        <v>5</v>
      </c>
      <c r="AD97" s="71" t="s">
        <v>271</v>
      </c>
      <c r="AE97" s="72" t="str">
        <f t="shared" si="39"/>
        <v>Mínima cuantía</v>
      </c>
      <c r="AF97" s="72" t="str">
        <f t="shared" si="41"/>
        <v>Propios</v>
      </c>
      <c r="AG97" s="167">
        <f t="shared" si="42"/>
        <v>58000000</v>
      </c>
      <c r="AH97" s="167">
        <f t="shared" si="40"/>
        <v>58000000</v>
      </c>
      <c r="AI97" s="71" t="s">
        <v>272</v>
      </c>
      <c r="AJ97" s="71" t="s">
        <v>273</v>
      </c>
      <c r="AK97" s="72" t="s">
        <v>274</v>
      </c>
      <c r="AL97" s="71" t="s">
        <v>275</v>
      </c>
      <c r="AM97" s="72" t="s">
        <v>598</v>
      </c>
      <c r="AN97" s="72">
        <v>3282888</v>
      </c>
      <c r="AO97" s="180" t="s">
        <v>599</v>
      </c>
    </row>
    <row r="98" spans="1:41" ht="156.75" customHeight="1" x14ac:dyDescent="0.3">
      <c r="A98" s="83" t="s">
        <v>557</v>
      </c>
      <c r="B98" s="72" t="s">
        <v>209</v>
      </c>
      <c r="C98" s="72" t="s">
        <v>210</v>
      </c>
      <c r="D98" s="72" t="s">
        <v>225</v>
      </c>
      <c r="E98" s="73" t="str">
        <f>IFERROR(VLOOKUP(D98,DATOS!E:F,2,0),"-")</f>
        <v>PROY2</v>
      </c>
      <c r="F98" s="72" t="s">
        <v>172</v>
      </c>
      <c r="G98" s="73" t="str">
        <f>IFERROR(VLOOKUP(F98,DATOS!G:H,2,0),"-")</f>
        <v>C_3302_1603_12_20302B_3302077</v>
      </c>
      <c r="H98" s="79" t="s">
        <v>181</v>
      </c>
      <c r="I98" s="72" t="s">
        <v>594</v>
      </c>
      <c r="J98" s="72" t="s">
        <v>167</v>
      </c>
      <c r="K98" s="83">
        <v>3</v>
      </c>
      <c r="L98" s="76">
        <f t="shared" si="43"/>
        <v>4000000</v>
      </c>
      <c r="M98" s="83">
        <v>1</v>
      </c>
      <c r="N98" s="192">
        <f t="shared" si="44"/>
        <v>12000000</v>
      </c>
      <c r="O98" s="100"/>
      <c r="P98" s="100"/>
      <c r="Q98" s="100">
        <v>12000000</v>
      </c>
      <c r="R98" s="100"/>
      <c r="S98" s="150">
        <f>IF(D98="","-",VLOOKUP(D98,DATOS!$B$47:$C$48,2,0)-SUMIFS(P$2:P98,D$2:D98,D98))</f>
        <v>195000000</v>
      </c>
      <c r="T98" s="150">
        <f>IF(D98="","-",VLOOKUP(D98,DATOS!$B$47:$D$48,3,0)-SUMIFS(Q$2:Q98,D$2:D98,D98))</f>
        <v>406359554</v>
      </c>
      <c r="U98" s="150">
        <f>IF(D98="","-",VLOOKUP(D98,DATOS!$B$47:$E$48,4,0)-SUMIFS(R$2:R98,D$2:D98,D98))</f>
        <v>418930557</v>
      </c>
      <c r="V98" s="150">
        <f>IF(H98="","-",VLOOKUP(H98,DATOS!$D$52:$E$75,2,0)-SUMIFS(N$2:N98,H$2:H98,H98))</f>
        <v>111000000</v>
      </c>
      <c r="W98" s="83"/>
      <c r="X98" s="83"/>
      <c r="Y98" s="72" t="s">
        <v>602</v>
      </c>
      <c r="Z98" s="166" t="str">
        <f t="shared" si="38"/>
        <v>Adquisición de insumos y elementos para desarrollar los procesos y procedimientos de conservación y restauración documental en el Archivo General de la Nación. GCR6_SMO</v>
      </c>
      <c r="AA98" s="71" t="s">
        <v>402</v>
      </c>
      <c r="AB98" s="71" t="s">
        <v>280</v>
      </c>
      <c r="AC98" s="83">
        <v>3</v>
      </c>
      <c r="AD98" s="71" t="s">
        <v>271</v>
      </c>
      <c r="AE98" s="72" t="str">
        <f t="shared" si="39"/>
        <v>Mínima cuantía</v>
      </c>
      <c r="AF98" s="72" t="str">
        <f t="shared" si="41"/>
        <v>Propios</v>
      </c>
      <c r="AG98" s="167">
        <f t="shared" si="42"/>
        <v>12000000</v>
      </c>
      <c r="AH98" s="167">
        <f t="shared" si="40"/>
        <v>12000000</v>
      </c>
      <c r="AI98" s="71" t="s">
        <v>272</v>
      </c>
      <c r="AJ98" s="71" t="s">
        <v>273</v>
      </c>
      <c r="AK98" s="72" t="s">
        <v>274</v>
      </c>
      <c r="AL98" s="71" t="s">
        <v>275</v>
      </c>
      <c r="AM98" s="72" t="s">
        <v>598</v>
      </c>
      <c r="AN98" s="72">
        <v>3282888</v>
      </c>
      <c r="AO98" s="180" t="s">
        <v>599</v>
      </c>
    </row>
    <row r="99" spans="1:41" ht="106.5" customHeight="1" x14ac:dyDescent="0.3">
      <c r="A99" s="83" t="s">
        <v>558</v>
      </c>
      <c r="B99" s="72" t="s">
        <v>209</v>
      </c>
      <c r="C99" s="72" t="s">
        <v>210</v>
      </c>
      <c r="D99" s="72" t="s">
        <v>225</v>
      </c>
      <c r="E99" s="73" t="str">
        <f>IFERROR(VLOOKUP(D99,DATOS!E:F,2,0),"-")</f>
        <v>PROY2</v>
      </c>
      <c r="F99" s="72" t="s">
        <v>172</v>
      </c>
      <c r="G99" s="73" t="str">
        <f>IFERROR(VLOOKUP(F99,DATOS!G:H,2,0),"-")</f>
        <v>C_3302_1603_12_20302B_3302077</v>
      </c>
      <c r="H99" s="79" t="s">
        <v>181</v>
      </c>
      <c r="I99" s="72" t="s">
        <v>579</v>
      </c>
      <c r="J99" s="72" t="s">
        <v>167</v>
      </c>
      <c r="K99" s="79">
        <v>2</v>
      </c>
      <c r="L99" s="76">
        <f t="shared" si="43"/>
        <v>5000000</v>
      </c>
      <c r="M99" s="83">
        <v>1</v>
      </c>
      <c r="N99" s="192">
        <f t="shared" si="44"/>
        <v>10000000</v>
      </c>
      <c r="O99" s="100"/>
      <c r="P99" s="100"/>
      <c r="Q99" s="100"/>
      <c r="R99" s="103">
        <v>10000000</v>
      </c>
      <c r="S99" s="150">
        <f>IF(D99="","-",VLOOKUP(D99,DATOS!$B$47:$C$48,2,0)-SUMIFS(P$2:P99,D$2:D99,D99))</f>
        <v>195000000</v>
      </c>
      <c r="T99" s="150">
        <f>IF(D99="","-",VLOOKUP(D99,DATOS!$B$47:$D$48,3,0)-SUMIFS(Q$2:Q99,D$2:D99,D99))</f>
        <v>406359554</v>
      </c>
      <c r="U99" s="150">
        <f>IF(D99="","-",VLOOKUP(D99,DATOS!$B$47:$E$48,4,0)-SUMIFS(R$2:R99,D$2:D99,D99))</f>
        <v>408930557</v>
      </c>
      <c r="V99" s="150">
        <f>IF(H99="","-",VLOOKUP(H99,DATOS!$D$52:$E$75,2,0)-SUMIFS(N$2:N99,H$2:H99,H99))</f>
        <v>101000000</v>
      </c>
      <c r="W99" s="79"/>
      <c r="X99" s="79"/>
      <c r="Y99" s="78" t="s">
        <v>602</v>
      </c>
      <c r="Z99" s="166" t="str">
        <f t="shared" si="38"/>
        <v>Adquisición de elementos e insumos de laboratorio necesarios para el desarrollo de los procesos de monitoreo y conservación del acervo documental adelantados por el Archivo General de la Nación. GCR7_SMO</v>
      </c>
      <c r="AA99" s="83" t="s">
        <v>402</v>
      </c>
      <c r="AB99" s="83" t="s">
        <v>280</v>
      </c>
      <c r="AC99" s="79">
        <v>2</v>
      </c>
      <c r="AD99" s="71" t="s">
        <v>271</v>
      </c>
      <c r="AE99" s="72" t="str">
        <f t="shared" si="39"/>
        <v>Mínima cuantía</v>
      </c>
      <c r="AF99" s="72" t="str">
        <f t="shared" si="41"/>
        <v>Propios</v>
      </c>
      <c r="AG99" s="167">
        <f t="shared" si="42"/>
        <v>10000000</v>
      </c>
      <c r="AH99" s="167">
        <f t="shared" si="40"/>
        <v>10000000</v>
      </c>
      <c r="AI99" s="71" t="s">
        <v>272</v>
      </c>
      <c r="AJ99" s="71" t="s">
        <v>273</v>
      </c>
      <c r="AK99" s="72" t="s">
        <v>274</v>
      </c>
      <c r="AL99" s="71" t="s">
        <v>275</v>
      </c>
      <c r="AM99" s="72" t="s">
        <v>598</v>
      </c>
      <c r="AN99" s="72">
        <v>3282888</v>
      </c>
      <c r="AO99" s="180" t="s">
        <v>599</v>
      </c>
    </row>
    <row r="100" spans="1:41" ht="104.25" customHeight="1" x14ac:dyDescent="0.3">
      <c r="A100" s="83" t="s">
        <v>559</v>
      </c>
      <c r="B100" s="72" t="s">
        <v>209</v>
      </c>
      <c r="C100" s="72" t="s">
        <v>210</v>
      </c>
      <c r="D100" s="72" t="s">
        <v>225</v>
      </c>
      <c r="E100" s="73" t="str">
        <f>IFERROR(VLOOKUP(D100,DATOS!E:F,2,0),"-")</f>
        <v>PROY2</v>
      </c>
      <c r="F100" s="72" t="s">
        <v>172</v>
      </c>
      <c r="G100" s="73" t="str">
        <f>IFERROR(VLOOKUP(F100,DATOS!G:H,2,0),"-")</f>
        <v>C_3302_1603_12_20302B_3302077</v>
      </c>
      <c r="H100" s="79" t="s">
        <v>181</v>
      </c>
      <c r="I100" s="72" t="s">
        <v>580</v>
      </c>
      <c r="J100" s="72" t="s">
        <v>171</v>
      </c>
      <c r="K100" s="83">
        <v>3</v>
      </c>
      <c r="L100" s="76">
        <f t="shared" si="43"/>
        <v>11666666.666666666</v>
      </c>
      <c r="M100" s="83">
        <v>1</v>
      </c>
      <c r="N100" s="192">
        <f t="shared" si="44"/>
        <v>35000000</v>
      </c>
      <c r="O100" s="101"/>
      <c r="P100" s="101"/>
      <c r="Q100" s="103">
        <v>35000000</v>
      </c>
      <c r="R100" s="103"/>
      <c r="S100" s="150">
        <f>IF(D100="","-",VLOOKUP(D100,DATOS!$B$47:$C$48,2,0)-SUMIFS(P$2:P100,D$2:D100,D100))</f>
        <v>195000000</v>
      </c>
      <c r="T100" s="150">
        <f>IF(D100="","-",VLOOKUP(D100,DATOS!$B$47:$D$48,3,0)-SUMIFS(Q$2:Q100,D$2:D100,D100))</f>
        <v>371359554</v>
      </c>
      <c r="U100" s="150">
        <f>IF(D100="","-",VLOOKUP(D100,DATOS!$B$47:$E$48,4,0)-SUMIFS(R$2:R100,D$2:D100,D100))</f>
        <v>408930557</v>
      </c>
      <c r="V100" s="150">
        <f>IF(H100="","-",VLOOKUP(H100,DATOS!$D$52:$E$75,2,0)-SUMIFS(N$2:N100,H$2:H100,H100))</f>
        <v>66000000</v>
      </c>
      <c r="W100" s="79"/>
      <c r="X100" s="79"/>
      <c r="Y100" s="72">
        <v>81101706</v>
      </c>
      <c r="Z100" s="166" t="str">
        <f t="shared" si="38"/>
        <v>Realización del mantenimiento y calibración de los equipos de laboratorio propiedad del Archivo General de la Nación. GCR8_SMO</v>
      </c>
      <c r="AA100" s="71" t="s">
        <v>277</v>
      </c>
      <c r="AB100" s="71" t="s">
        <v>279</v>
      </c>
      <c r="AC100" s="83">
        <v>3</v>
      </c>
      <c r="AD100" s="71" t="s">
        <v>271</v>
      </c>
      <c r="AE100" s="72" t="str">
        <f t="shared" si="39"/>
        <v>Selección abreviada de menor cuantía</v>
      </c>
      <c r="AF100" s="72" t="str">
        <f t="shared" si="41"/>
        <v>Propios</v>
      </c>
      <c r="AG100" s="167">
        <f t="shared" si="42"/>
        <v>35000000</v>
      </c>
      <c r="AH100" s="167">
        <f t="shared" si="40"/>
        <v>35000000</v>
      </c>
      <c r="AI100" s="71" t="s">
        <v>272</v>
      </c>
      <c r="AJ100" s="71" t="s">
        <v>273</v>
      </c>
      <c r="AK100" s="72" t="s">
        <v>274</v>
      </c>
      <c r="AL100" s="71" t="s">
        <v>275</v>
      </c>
      <c r="AM100" s="72" t="s">
        <v>598</v>
      </c>
      <c r="AN100" s="72">
        <v>3282888</v>
      </c>
      <c r="AO100" s="180" t="s">
        <v>599</v>
      </c>
    </row>
    <row r="101" spans="1:41" ht="106.5" customHeight="1" x14ac:dyDescent="0.3">
      <c r="A101" s="83" t="s">
        <v>560</v>
      </c>
      <c r="B101" s="72" t="s">
        <v>209</v>
      </c>
      <c r="C101" s="72" t="s">
        <v>210</v>
      </c>
      <c r="D101" s="72" t="s">
        <v>225</v>
      </c>
      <c r="E101" s="73" t="str">
        <f>IFERROR(VLOOKUP(D101,DATOS!E:F,2,0),"-")</f>
        <v>PROY2</v>
      </c>
      <c r="F101" s="72" t="s">
        <v>172</v>
      </c>
      <c r="G101" s="73" t="str">
        <f>IFERROR(VLOOKUP(F101,DATOS!G:H,2,0),"-")</f>
        <v>C_3302_1603_12_20302B_3302077</v>
      </c>
      <c r="H101" s="79" t="s">
        <v>181</v>
      </c>
      <c r="I101" s="72" t="s">
        <v>581</v>
      </c>
      <c r="J101" s="72" t="s">
        <v>167</v>
      </c>
      <c r="K101" s="83">
        <v>3</v>
      </c>
      <c r="L101" s="76">
        <f t="shared" si="43"/>
        <v>1666666.6666666667</v>
      </c>
      <c r="M101" s="83">
        <v>1</v>
      </c>
      <c r="N101" s="192">
        <f t="shared" si="44"/>
        <v>5000000</v>
      </c>
      <c r="O101" s="101"/>
      <c r="P101" s="101">
        <v>5000000</v>
      </c>
      <c r="Q101" s="103"/>
      <c r="R101" s="103"/>
      <c r="S101" s="150">
        <f>IF(D101="","-",VLOOKUP(D101,DATOS!$B$47:$C$48,2,0)-SUMIFS(P$2:P101,D$2:D101,D101))</f>
        <v>190000000</v>
      </c>
      <c r="T101" s="150">
        <f>IF(D101="","-",VLOOKUP(D101,DATOS!$B$47:$D$48,3,0)-SUMIFS(Q$2:Q101,D$2:D101,D101))</f>
        <v>371359554</v>
      </c>
      <c r="U101" s="150">
        <f>IF(D101="","-",VLOOKUP(D101,DATOS!$B$47:$E$48,4,0)-SUMIFS(R$2:R101,D$2:D101,D101))</f>
        <v>408930557</v>
      </c>
      <c r="V101" s="150">
        <f>IF(H101="","-",VLOOKUP(H101,DATOS!$D$52:$E$75,2,0)-SUMIFS(N$2:N101,H$2:H101,H101))</f>
        <v>61000000</v>
      </c>
      <c r="W101" s="79"/>
      <c r="X101" s="79"/>
      <c r="Y101" s="72" t="s">
        <v>619</v>
      </c>
      <c r="Z101" s="166" t="str">
        <f t="shared" si="38"/>
        <v>Prestar el servicio de mantenimiento y corrección de equipos de encuadernación GCR9</v>
      </c>
      <c r="AA101" s="71" t="s">
        <v>280</v>
      </c>
      <c r="AB101" s="71" t="s">
        <v>298</v>
      </c>
      <c r="AC101" s="83">
        <v>3</v>
      </c>
      <c r="AD101" s="71" t="s">
        <v>271</v>
      </c>
      <c r="AE101" s="72" t="str">
        <f t="shared" si="39"/>
        <v>Mínima cuantía</v>
      </c>
      <c r="AF101" s="72" t="str">
        <f t="shared" si="41"/>
        <v>Nación</v>
      </c>
      <c r="AG101" s="167">
        <f t="shared" si="42"/>
        <v>5000000</v>
      </c>
      <c r="AH101" s="167">
        <f t="shared" si="40"/>
        <v>5000000</v>
      </c>
      <c r="AI101" s="71" t="s">
        <v>272</v>
      </c>
      <c r="AJ101" s="71" t="s">
        <v>273</v>
      </c>
      <c r="AK101" s="72" t="s">
        <v>274</v>
      </c>
      <c r="AL101" s="71" t="s">
        <v>275</v>
      </c>
      <c r="AM101" s="72" t="s">
        <v>598</v>
      </c>
      <c r="AN101" s="72">
        <v>3282888</v>
      </c>
      <c r="AO101" s="180" t="s">
        <v>599</v>
      </c>
    </row>
    <row r="102" spans="1:41" ht="105" customHeight="1" x14ac:dyDescent="0.3">
      <c r="A102" s="83" t="s">
        <v>561</v>
      </c>
      <c r="B102" s="72" t="s">
        <v>209</v>
      </c>
      <c r="C102" s="72" t="s">
        <v>210</v>
      </c>
      <c r="D102" s="72" t="s">
        <v>225</v>
      </c>
      <c r="E102" s="73" t="str">
        <f>IFERROR(VLOOKUP(D102,DATOS!E:F,2,0),"-")</f>
        <v>PROY2</v>
      </c>
      <c r="F102" s="72" t="s">
        <v>172</v>
      </c>
      <c r="G102" s="73" t="str">
        <f>IFERROR(VLOOKUP(F102,DATOS!G:H,2,0),"-")</f>
        <v>C_3302_1603_12_20302B_3302077</v>
      </c>
      <c r="H102" s="79" t="s">
        <v>181</v>
      </c>
      <c r="I102" s="89" t="s">
        <v>582</v>
      </c>
      <c r="J102" s="72" t="s">
        <v>167</v>
      </c>
      <c r="K102" s="79">
        <v>2</v>
      </c>
      <c r="L102" s="76">
        <f t="shared" si="43"/>
        <v>5000000</v>
      </c>
      <c r="M102" s="79">
        <v>1</v>
      </c>
      <c r="N102" s="192">
        <f t="shared" si="44"/>
        <v>10000000</v>
      </c>
      <c r="O102" s="87"/>
      <c r="P102" s="87"/>
      <c r="Q102" s="87"/>
      <c r="R102" s="87">
        <v>10000000</v>
      </c>
      <c r="S102" s="150">
        <f>IF(D102="","-",VLOOKUP(D102,DATOS!$B$47:$C$48,2,0)-SUMIFS(P$2:P102,D$2:D102,D102))</f>
        <v>190000000</v>
      </c>
      <c r="T102" s="150">
        <f>IF(D102="","-",VLOOKUP(D102,DATOS!$B$47:$D$48,3,0)-SUMIFS(Q$2:Q102,D$2:D102,D102))</f>
        <v>371359554</v>
      </c>
      <c r="U102" s="150">
        <f>IF(D102="","-",VLOOKUP(D102,DATOS!$B$47:$E$48,4,0)-SUMIFS(R$2:R102,D$2:D102,D102))</f>
        <v>398930557</v>
      </c>
      <c r="V102" s="150">
        <f>IF(H102="","-",VLOOKUP(H102,DATOS!$D$52:$E$75,2,0)-SUMIFS(N$2:N102,H$2:H102,H102))</f>
        <v>51000000</v>
      </c>
      <c r="W102" s="72"/>
      <c r="X102" s="72"/>
      <c r="Y102" s="72" t="s">
        <v>603</v>
      </c>
      <c r="Z102" s="166" t="str">
        <f t="shared" si="38"/>
        <v>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Nación.GCR10_SMO</v>
      </c>
      <c r="AA102" s="71" t="s">
        <v>277</v>
      </c>
      <c r="AB102" s="71" t="s">
        <v>279</v>
      </c>
      <c r="AC102" s="79">
        <v>2</v>
      </c>
      <c r="AD102" s="71" t="s">
        <v>271</v>
      </c>
      <c r="AE102" s="72" t="str">
        <f t="shared" si="39"/>
        <v>Mínima cuantía</v>
      </c>
      <c r="AF102" s="72" t="str">
        <f t="shared" si="41"/>
        <v>Propios</v>
      </c>
      <c r="AG102" s="167">
        <f t="shared" si="42"/>
        <v>10000000</v>
      </c>
      <c r="AH102" s="167">
        <f t="shared" si="40"/>
        <v>10000000</v>
      </c>
      <c r="AI102" s="71" t="s">
        <v>272</v>
      </c>
      <c r="AJ102" s="71" t="s">
        <v>273</v>
      </c>
      <c r="AK102" s="72" t="s">
        <v>274</v>
      </c>
      <c r="AL102" s="71" t="s">
        <v>275</v>
      </c>
      <c r="AM102" s="72" t="s">
        <v>598</v>
      </c>
      <c r="AN102" s="72">
        <v>3282888</v>
      </c>
      <c r="AO102" s="180" t="s">
        <v>599</v>
      </c>
    </row>
    <row r="103" spans="1:41" ht="66.75" customHeight="1" x14ac:dyDescent="0.3">
      <c r="A103" s="83" t="s">
        <v>562</v>
      </c>
      <c r="B103" s="72" t="s">
        <v>209</v>
      </c>
      <c r="C103" s="72" t="s">
        <v>210</v>
      </c>
      <c r="D103" s="72" t="s">
        <v>225</v>
      </c>
      <c r="E103" s="73" t="str">
        <f>IFERROR(VLOOKUP(D103,DATOS!E:F,2,0),"-")</f>
        <v>PROY2</v>
      </c>
      <c r="F103" s="72" t="s">
        <v>172</v>
      </c>
      <c r="G103" s="73" t="str">
        <f>IFERROR(VLOOKUP(F103,DATOS!G:H,2,0),"-")</f>
        <v>C_3302_1603_12_20302B_3302077</v>
      </c>
      <c r="H103" s="79" t="s">
        <v>181</v>
      </c>
      <c r="I103" s="72" t="s">
        <v>583</v>
      </c>
      <c r="J103" s="72" t="s">
        <v>167</v>
      </c>
      <c r="K103" s="79">
        <v>2</v>
      </c>
      <c r="L103" s="76">
        <f t="shared" si="43"/>
        <v>17500000</v>
      </c>
      <c r="M103" s="79">
        <v>1</v>
      </c>
      <c r="N103" s="192">
        <f t="shared" si="44"/>
        <v>35000000</v>
      </c>
      <c r="O103" s="87"/>
      <c r="P103" s="87"/>
      <c r="Q103" s="87"/>
      <c r="R103" s="87">
        <v>35000000</v>
      </c>
      <c r="S103" s="150">
        <f>IF(D103="","-",VLOOKUP(D103,DATOS!$B$47:$C$48,2,0)-SUMIFS(P$2:P103,D$2:D103,D103))</f>
        <v>190000000</v>
      </c>
      <c r="T103" s="150">
        <f>IF(D103="","-",VLOOKUP(D103,DATOS!$B$47:$D$48,3,0)-SUMIFS(Q$2:Q103,D$2:D103,D103))</f>
        <v>371359554</v>
      </c>
      <c r="U103" s="150">
        <f>IF(D103="","-",VLOOKUP(D103,DATOS!$B$47:$E$48,4,0)-SUMIFS(R$2:R103,D$2:D103,D103))</f>
        <v>363930557</v>
      </c>
      <c r="V103" s="150">
        <f>IF(H103="","-",VLOOKUP(H103,DATOS!$D$52:$E$75,2,0)-SUMIFS(N$2:N103,H$2:H103,H103))</f>
        <v>16000000</v>
      </c>
      <c r="W103" s="72"/>
      <c r="X103" s="72"/>
      <c r="Y103" s="82" t="s">
        <v>620</v>
      </c>
      <c r="Z103" s="166" t="str">
        <f t="shared" si="38"/>
        <v>Adquirir a título de compraventa equipos especializados para conservacion documental GCR11</v>
      </c>
      <c r="AA103" s="71" t="s">
        <v>402</v>
      </c>
      <c r="AB103" s="71" t="s">
        <v>280</v>
      </c>
      <c r="AC103" s="79">
        <v>2</v>
      </c>
      <c r="AD103" s="71" t="s">
        <v>271</v>
      </c>
      <c r="AE103" s="72" t="str">
        <f t="shared" si="39"/>
        <v>Mínima cuantía</v>
      </c>
      <c r="AF103" s="72" t="str">
        <f t="shared" si="41"/>
        <v>Propios</v>
      </c>
      <c r="AG103" s="167">
        <f t="shared" si="42"/>
        <v>35000000</v>
      </c>
      <c r="AH103" s="167">
        <f t="shared" si="40"/>
        <v>35000000</v>
      </c>
      <c r="AI103" s="71" t="s">
        <v>272</v>
      </c>
      <c r="AJ103" s="71" t="s">
        <v>273</v>
      </c>
      <c r="AK103" s="72" t="s">
        <v>274</v>
      </c>
      <c r="AL103" s="71" t="s">
        <v>275</v>
      </c>
      <c r="AM103" s="72" t="s">
        <v>598</v>
      </c>
      <c r="AN103" s="72">
        <v>3282888</v>
      </c>
      <c r="AO103" s="180" t="s">
        <v>599</v>
      </c>
    </row>
    <row r="104" spans="1:41" ht="66" customHeight="1" x14ac:dyDescent="0.3">
      <c r="A104" s="83" t="s">
        <v>563</v>
      </c>
      <c r="B104" s="72" t="s">
        <v>209</v>
      </c>
      <c r="C104" s="72" t="s">
        <v>210</v>
      </c>
      <c r="D104" s="72" t="s">
        <v>225</v>
      </c>
      <c r="E104" s="73" t="str">
        <f>IFERROR(VLOOKUP(D104,DATOS!E:F,2,0),"-")</f>
        <v>PROY2</v>
      </c>
      <c r="F104" s="72" t="s">
        <v>172</v>
      </c>
      <c r="G104" s="73" t="str">
        <f>IFERROR(VLOOKUP(F104,DATOS!G:H,2,0),"-")</f>
        <v>C_3302_1603_12_20302B_3302077</v>
      </c>
      <c r="H104" s="79" t="s">
        <v>181</v>
      </c>
      <c r="I104" s="72" t="s">
        <v>584</v>
      </c>
      <c r="J104" s="72" t="s">
        <v>167</v>
      </c>
      <c r="K104" s="79">
        <v>2</v>
      </c>
      <c r="L104" s="76">
        <f t="shared" si="43"/>
        <v>5000000</v>
      </c>
      <c r="M104" s="79">
        <v>1</v>
      </c>
      <c r="N104" s="192">
        <f t="shared" si="44"/>
        <v>10000000</v>
      </c>
      <c r="O104" s="87"/>
      <c r="P104" s="87"/>
      <c r="Q104" s="87">
        <v>10000000</v>
      </c>
      <c r="R104" s="87"/>
      <c r="S104" s="150">
        <f>IF(D104="","-",VLOOKUP(D104,DATOS!$B$47:$C$48,2,0)-SUMIFS(P$2:P104,D$2:D104,D104))</f>
        <v>190000000</v>
      </c>
      <c r="T104" s="150">
        <f>IF(D104="","-",VLOOKUP(D104,DATOS!$B$47:$D$48,3,0)-SUMIFS(Q$2:Q104,D$2:D104,D104))</f>
        <v>361359554</v>
      </c>
      <c r="U104" s="150">
        <f>IF(D104="","-",VLOOKUP(D104,DATOS!$B$47:$E$48,4,0)-SUMIFS(R$2:R104,D$2:D104,D104))</f>
        <v>363930557</v>
      </c>
      <c r="V104" s="150">
        <f>IF(H104="","-",VLOOKUP(H104,DATOS!$D$52:$E$75,2,0)-SUMIFS(N$2:N104,H$2:H104,H104))</f>
        <v>6000000</v>
      </c>
      <c r="W104" s="72"/>
      <c r="X104" s="72"/>
      <c r="Y104" s="72" t="s">
        <v>604</v>
      </c>
      <c r="Z104" s="166" t="str">
        <f t="shared" si="38"/>
        <v>Adquirir a título de compraventa equipos de computo GCR12</v>
      </c>
      <c r="AA104" s="81" t="s">
        <v>402</v>
      </c>
      <c r="AB104" s="81" t="s">
        <v>280</v>
      </c>
      <c r="AC104" s="79">
        <v>2</v>
      </c>
      <c r="AD104" s="71" t="s">
        <v>271</v>
      </c>
      <c r="AE104" s="72" t="str">
        <f t="shared" si="39"/>
        <v>Mínima cuantía</v>
      </c>
      <c r="AF104" s="72" t="str">
        <f t="shared" si="41"/>
        <v>Propios</v>
      </c>
      <c r="AG104" s="167">
        <f t="shared" si="42"/>
        <v>10000000</v>
      </c>
      <c r="AH104" s="167">
        <f t="shared" si="40"/>
        <v>10000000</v>
      </c>
      <c r="AI104" s="71" t="s">
        <v>272</v>
      </c>
      <c r="AJ104" s="71" t="s">
        <v>273</v>
      </c>
      <c r="AK104" s="72" t="s">
        <v>274</v>
      </c>
      <c r="AL104" s="71" t="s">
        <v>275</v>
      </c>
      <c r="AM104" s="72" t="s">
        <v>598</v>
      </c>
      <c r="AN104" s="72">
        <v>3282888</v>
      </c>
      <c r="AO104" s="180" t="s">
        <v>599</v>
      </c>
    </row>
    <row r="105" spans="1:41" ht="81.599999999999994" customHeight="1" x14ac:dyDescent="0.3">
      <c r="A105" s="83" t="s">
        <v>564</v>
      </c>
      <c r="B105" s="72" t="s">
        <v>209</v>
      </c>
      <c r="C105" s="72" t="s">
        <v>211</v>
      </c>
      <c r="D105" s="72" t="s">
        <v>225</v>
      </c>
      <c r="E105" s="73" t="str">
        <f>IFERROR(VLOOKUP(D105,DATOS!E:F,2,0),"-")</f>
        <v>PROY2</v>
      </c>
      <c r="F105" s="72" t="s">
        <v>172</v>
      </c>
      <c r="G105" s="73" t="str">
        <f>IFERROR(VLOOKUP(F105,DATOS!G:H,2,0),"-")</f>
        <v>C_3302_1603_12_20302B_3302077</v>
      </c>
      <c r="H105" s="72" t="s">
        <v>180</v>
      </c>
      <c r="I105" s="89" t="s">
        <v>808</v>
      </c>
      <c r="J105" s="72" t="s">
        <v>161</v>
      </c>
      <c r="K105" s="79">
        <v>10</v>
      </c>
      <c r="L105" s="76">
        <f t="shared" si="43"/>
        <v>3500000</v>
      </c>
      <c r="M105" s="79">
        <v>2</v>
      </c>
      <c r="N105" s="192">
        <f t="shared" si="44"/>
        <v>70000000</v>
      </c>
      <c r="O105" s="87"/>
      <c r="P105" s="87"/>
      <c r="Q105" s="87"/>
      <c r="R105" s="87">
        <v>70000000</v>
      </c>
      <c r="S105" s="150">
        <f>IF(D105="","-",VLOOKUP(D105,DATOS!$B$47:$C$48,2,0)-SUMIFS(P$2:P105,D$2:D105,D105))</f>
        <v>190000000</v>
      </c>
      <c r="T105" s="150">
        <f>IF(D105="","-",VLOOKUP(D105,DATOS!$B$47:$D$48,3,0)-SUMIFS(Q$2:Q105,D$2:D105,D105))</f>
        <v>361359554</v>
      </c>
      <c r="U105" s="150">
        <f>IF(D105="","-",VLOOKUP(D105,DATOS!$B$47:$E$48,4,0)-SUMIFS(R$2:R105,D$2:D105,D105))</f>
        <v>293930557</v>
      </c>
      <c r="V105" s="150">
        <f>IF(H105="","-",VLOOKUP(H105,DATOS!$D$52:$E$75,2,0)-SUMIFS(N$2:N105,H$2:H105,H105))</f>
        <v>251262748</v>
      </c>
      <c r="W105" s="72"/>
      <c r="X105" s="72"/>
      <c r="Y105" s="72" t="s">
        <v>621</v>
      </c>
      <c r="Z105" s="166" t="str">
        <f t="shared" si="38"/>
        <v>Prestar servicios profesionales en la producción de contenidos históricos para redes sociales, piezas de divulgación y ubicación de documentos en la sala de investigación.GID1</v>
      </c>
      <c r="AA105" s="71" t="s">
        <v>278</v>
      </c>
      <c r="AB105" s="71" t="s">
        <v>278</v>
      </c>
      <c r="AC105" s="79">
        <v>10</v>
      </c>
      <c r="AD105" s="71" t="s">
        <v>271</v>
      </c>
      <c r="AE105" s="72" t="str">
        <f t="shared" si="39"/>
        <v>Contratación directa</v>
      </c>
      <c r="AF105" s="72" t="str">
        <f t="shared" si="41"/>
        <v>Propios</v>
      </c>
      <c r="AG105" s="167">
        <f t="shared" si="42"/>
        <v>70000000</v>
      </c>
      <c r="AH105" s="167">
        <f t="shared" si="40"/>
        <v>70000000</v>
      </c>
      <c r="AI105" s="71" t="s">
        <v>272</v>
      </c>
      <c r="AJ105" s="71" t="s">
        <v>273</v>
      </c>
      <c r="AK105" s="72" t="s">
        <v>274</v>
      </c>
      <c r="AL105" s="71" t="s">
        <v>275</v>
      </c>
      <c r="AM105" s="72" t="s">
        <v>598</v>
      </c>
      <c r="AN105" s="72">
        <v>3282888</v>
      </c>
      <c r="AO105" s="180" t="s">
        <v>599</v>
      </c>
    </row>
    <row r="106" spans="1:41" ht="67.5" customHeight="1" x14ac:dyDescent="0.3">
      <c r="A106" s="83" t="s">
        <v>565</v>
      </c>
      <c r="B106" s="72" t="s">
        <v>209</v>
      </c>
      <c r="C106" s="72" t="s">
        <v>211</v>
      </c>
      <c r="D106" s="72" t="s">
        <v>225</v>
      </c>
      <c r="E106" s="73" t="str">
        <f>IFERROR(VLOOKUP(D106,DATOS!E:F,2,0),"-")</f>
        <v>PROY2</v>
      </c>
      <c r="F106" s="72" t="s">
        <v>172</v>
      </c>
      <c r="G106" s="73" t="str">
        <f>IFERROR(VLOOKUP(F106,DATOS!G:H,2,0),"-")</f>
        <v>C_3302_1603_12_20302B_3302077</v>
      </c>
      <c r="H106" s="72" t="s">
        <v>180</v>
      </c>
      <c r="I106" s="72" t="s">
        <v>585</v>
      </c>
      <c r="J106" s="72" t="s">
        <v>161</v>
      </c>
      <c r="K106" s="79">
        <v>1</v>
      </c>
      <c r="L106" s="76">
        <f t="shared" si="43"/>
        <v>8000000</v>
      </c>
      <c r="M106" s="79">
        <v>1</v>
      </c>
      <c r="N106" s="192">
        <f t="shared" si="44"/>
        <v>8000000</v>
      </c>
      <c r="O106" s="87"/>
      <c r="P106" s="87"/>
      <c r="Q106" s="87">
        <v>8000000</v>
      </c>
      <c r="R106" s="87"/>
      <c r="S106" s="150">
        <f>IF(D106="","-",VLOOKUP(D106,DATOS!$B$47:$C$48,2,0)-SUMIFS(P$2:P106,D$2:D106,D106))</f>
        <v>190000000</v>
      </c>
      <c r="T106" s="150">
        <f>IF(D106="","-",VLOOKUP(D106,DATOS!$B$47:$D$48,3,0)-SUMIFS(Q$2:Q106,D$2:D106,D106))</f>
        <v>353359554</v>
      </c>
      <c r="U106" s="150">
        <f>IF(D106="","-",VLOOKUP(D106,DATOS!$B$47:$E$48,4,0)-SUMIFS(R$2:R106,D$2:D106,D106))</f>
        <v>293930557</v>
      </c>
      <c r="V106" s="150">
        <f>IF(H106="","-",VLOOKUP(H106,DATOS!$D$52:$E$75,2,0)-SUMIFS(N$2:N106,H$2:H106,H106))</f>
        <v>243262748</v>
      </c>
      <c r="W106" s="72"/>
      <c r="X106" s="72"/>
      <c r="Y106" s="72" t="s">
        <v>619</v>
      </c>
      <c r="Z106" s="166" t="str">
        <f t="shared" si="38"/>
        <v>Servicio de mantenimiento de equipos de lectura de microfilm. GID2</v>
      </c>
      <c r="AA106" s="71" t="s">
        <v>279</v>
      </c>
      <c r="AB106" s="71" t="s">
        <v>279</v>
      </c>
      <c r="AC106" s="79">
        <v>1</v>
      </c>
      <c r="AD106" s="71" t="s">
        <v>271</v>
      </c>
      <c r="AE106" s="72" t="str">
        <f t="shared" si="39"/>
        <v>Contratación directa</v>
      </c>
      <c r="AF106" s="72" t="str">
        <f t="shared" si="41"/>
        <v>Propios</v>
      </c>
      <c r="AG106" s="167">
        <f t="shared" si="42"/>
        <v>8000000</v>
      </c>
      <c r="AH106" s="167">
        <f t="shared" si="40"/>
        <v>8000000</v>
      </c>
      <c r="AI106" s="71" t="s">
        <v>272</v>
      </c>
      <c r="AJ106" s="71" t="s">
        <v>273</v>
      </c>
      <c r="AK106" s="72" t="s">
        <v>274</v>
      </c>
      <c r="AL106" s="71" t="s">
        <v>275</v>
      </c>
      <c r="AM106" s="72" t="s">
        <v>598</v>
      </c>
      <c r="AN106" s="72">
        <v>3282888</v>
      </c>
      <c r="AO106" s="180" t="s">
        <v>599</v>
      </c>
    </row>
    <row r="107" spans="1:41" ht="69.75" customHeight="1" x14ac:dyDescent="0.3">
      <c r="A107" s="83" t="s">
        <v>566</v>
      </c>
      <c r="B107" s="72" t="s">
        <v>209</v>
      </c>
      <c r="C107" s="72" t="s">
        <v>198</v>
      </c>
      <c r="D107" s="72" t="s">
        <v>225</v>
      </c>
      <c r="E107" s="73" t="str">
        <f>IFERROR(VLOOKUP(D107,DATOS!E:F,2,0),"-")</f>
        <v>PROY2</v>
      </c>
      <c r="F107" s="72" t="s">
        <v>172</v>
      </c>
      <c r="G107" s="73" t="str">
        <f>IFERROR(VLOOKUP(F107,DATOS!G:H,2,0),"-")</f>
        <v>C_3302_1603_12_20302B_3302077</v>
      </c>
      <c r="H107" s="72" t="s">
        <v>180</v>
      </c>
      <c r="I107" s="72" t="s">
        <v>586</v>
      </c>
      <c r="J107" s="72" t="s">
        <v>161</v>
      </c>
      <c r="K107" s="79">
        <v>10</v>
      </c>
      <c r="L107" s="76">
        <f t="shared" si="43"/>
        <v>5500000</v>
      </c>
      <c r="M107" s="79">
        <v>1</v>
      </c>
      <c r="N107" s="192">
        <f t="shared" si="44"/>
        <v>55000000</v>
      </c>
      <c r="O107" s="87"/>
      <c r="P107" s="87"/>
      <c r="Q107" s="87">
        <v>55000000</v>
      </c>
      <c r="R107" s="87"/>
      <c r="S107" s="150">
        <f>IF(D107="","-",VLOOKUP(D107,DATOS!$B$47:$C$48,2,0)-SUMIFS(P$2:P107,D$2:D107,D107))</f>
        <v>190000000</v>
      </c>
      <c r="T107" s="150">
        <f>IF(D107="","-",VLOOKUP(D107,DATOS!$B$47:$D$48,3,0)-SUMIFS(Q$2:Q107,D$2:D107,D107))</f>
        <v>298359554</v>
      </c>
      <c r="U107" s="150">
        <f>IF(D107="","-",VLOOKUP(D107,DATOS!$B$47:$E$48,4,0)-SUMIFS(R$2:R107,D$2:D107,D107))</f>
        <v>293930557</v>
      </c>
      <c r="V107" s="150">
        <f>IF(H107="","-",VLOOKUP(H107,DATOS!$D$52:$E$75,2,0)-SUMIFS(N$2:N107,H$2:H107,H107))</f>
        <v>188262748</v>
      </c>
      <c r="W107" s="72"/>
      <c r="X107" s="72"/>
      <c r="Y107" s="72" t="s">
        <v>622</v>
      </c>
      <c r="Z107" s="166" t="str">
        <f t="shared" si="38"/>
        <v>Diseño, realización y evaluación de la estrategia de espacios de diálogo sobre experiencias en archivos, Derechos Humanos y paz. SGP1</v>
      </c>
      <c r="AA107" s="81" t="s">
        <v>278</v>
      </c>
      <c r="AB107" s="81" t="s">
        <v>278</v>
      </c>
      <c r="AC107" s="79">
        <v>10</v>
      </c>
      <c r="AD107" s="71" t="s">
        <v>271</v>
      </c>
      <c r="AE107" s="72" t="str">
        <f t="shared" si="39"/>
        <v>Contratación directa</v>
      </c>
      <c r="AF107" s="72" t="str">
        <f t="shared" si="41"/>
        <v>Propios</v>
      </c>
      <c r="AG107" s="167">
        <f t="shared" si="42"/>
        <v>55000000</v>
      </c>
      <c r="AH107" s="167">
        <f t="shared" si="40"/>
        <v>55000000</v>
      </c>
      <c r="AI107" s="71" t="s">
        <v>272</v>
      </c>
      <c r="AJ107" s="71" t="s">
        <v>273</v>
      </c>
      <c r="AK107" s="72" t="s">
        <v>274</v>
      </c>
      <c r="AL107" s="71" t="s">
        <v>275</v>
      </c>
      <c r="AM107" s="72" t="s">
        <v>598</v>
      </c>
      <c r="AN107" s="72">
        <v>3282888</v>
      </c>
      <c r="AO107" s="180" t="s">
        <v>599</v>
      </c>
    </row>
    <row r="108" spans="1:41" ht="69" customHeight="1" x14ac:dyDescent="0.3">
      <c r="A108" s="83" t="s">
        <v>567</v>
      </c>
      <c r="B108" s="72" t="s">
        <v>209</v>
      </c>
      <c r="C108" s="72" t="s">
        <v>198</v>
      </c>
      <c r="D108" s="72" t="s">
        <v>225</v>
      </c>
      <c r="E108" s="73" t="str">
        <f>IFERROR(VLOOKUP(D108,DATOS!E:F,2,0),"-")</f>
        <v>PROY2</v>
      </c>
      <c r="F108" s="72" t="s">
        <v>172</v>
      </c>
      <c r="G108" s="73" t="str">
        <f>IFERROR(VLOOKUP(F108,DATOS!G:H,2,0),"-")</f>
        <v>C_3302_1603_12_20302B_3302077</v>
      </c>
      <c r="H108" s="72" t="s">
        <v>180</v>
      </c>
      <c r="I108" s="89" t="s">
        <v>587</v>
      </c>
      <c r="J108" s="72" t="s">
        <v>161</v>
      </c>
      <c r="K108" s="79">
        <v>10</v>
      </c>
      <c r="L108" s="76">
        <f t="shared" si="43"/>
        <v>5500000</v>
      </c>
      <c r="M108" s="79">
        <v>1</v>
      </c>
      <c r="N108" s="192">
        <f t="shared" si="44"/>
        <v>55000000</v>
      </c>
      <c r="O108" s="87"/>
      <c r="P108" s="87"/>
      <c r="Q108" s="87"/>
      <c r="R108" s="87">
        <v>55000000</v>
      </c>
      <c r="S108" s="150">
        <f>IF(D108="","-",VLOOKUP(D108,DATOS!$B$47:$C$48,2,0)-SUMIFS(P$2:P108,D$2:D108,D108))</f>
        <v>190000000</v>
      </c>
      <c r="T108" s="150">
        <f>IF(D108="","-",VLOOKUP(D108,DATOS!$B$47:$D$48,3,0)-SUMIFS(Q$2:Q108,D$2:D108,D108))</f>
        <v>298359554</v>
      </c>
      <c r="U108" s="150">
        <f>IF(D108="","-",VLOOKUP(D108,DATOS!$B$47:$E$48,4,0)-SUMIFS(R$2:R108,D$2:D108,D108))</f>
        <v>238930557</v>
      </c>
      <c r="V108" s="150">
        <f>IF(H108="","-",VLOOKUP(H108,DATOS!$D$52:$E$75,2,0)-SUMIFS(N$2:N108,H$2:H108,H108))</f>
        <v>133262748</v>
      </c>
      <c r="W108" s="72"/>
      <c r="X108" s="72"/>
      <c r="Y108" s="72" t="s">
        <v>622</v>
      </c>
      <c r="Z108" s="166" t="str">
        <f t="shared" si="38"/>
        <v xml:space="preserve">
Verificación de la valoración y los instrumentos de descripción de los archivos objeto de ingreso documental al Archivo General de la Nacion. SGP2</v>
      </c>
      <c r="AA108" s="71" t="s">
        <v>278</v>
      </c>
      <c r="AB108" s="71" t="s">
        <v>278</v>
      </c>
      <c r="AC108" s="79">
        <v>10</v>
      </c>
      <c r="AD108" s="71" t="s">
        <v>271</v>
      </c>
      <c r="AE108" s="72" t="str">
        <f t="shared" si="39"/>
        <v>Contratación directa</v>
      </c>
      <c r="AF108" s="72" t="str">
        <f t="shared" si="41"/>
        <v>Propios</v>
      </c>
      <c r="AG108" s="167">
        <f t="shared" si="42"/>
        <v>55000000</v>
      </c>
      <c r="AH108" s="167">
        <f t="shared" si="40"/>
        <v>55000000</v>
      </c>
      <c r="AI108" s="71" t="s">
        <v>272</v>
      </c>
      <c r="AJ108" s="71" t="s">
        <v>273</v>
      </c>
      <c r="AK108" s="72" t="s">
        <v>274</v>
      </c>
      <c r="AL108" s="71" t="s">
        <v>275</v>
      </c>
      <c r="AM108" s="72" t="s">
        <v>598</v>
      </c>
      <c r="AN108" s="72">
        <v>3282888</v>
      </c>
      <c r="AO108" s="180" t="s">
        <v>599</v>
      </c>
    </row>
    <row r="109" spans="1:41" ht="68.25" customHeight="1" x14ac:dyDescent="0.3">
      <c r="A109" s="83" t="s">
        <v>568</v>
      </c>
      <c r="B109" s="72" t="s">
        <v>209</v>
      </c>
      <c r="C109" s="72" t="s">
        <v>198</v>
      </c>
      <c r="D109" s="72" t="s">
        <v>225</v>
      </c>
      <c r="E109" s="73" t="str">
        <f>IFERROR(VLOOKUP(D109,DATOS!E:F,2,0),"-")</f>
        <v>PROY2</v>
      </c>
      <c r="F109" s="72" t="s">
        <v>172</v>
      </c>
      <c r="G109" s="73" t="str">
        <f>IFERROR(VLOOKUP(F109,DATOS!G:H,2,0),"-")</f>
        <v>C_3302_1603_12_20302B_3302077</v>
      </c>
      <c r="H109" s="72" t="s">
        <v>180</v>
      </c>
      <c r="I109" s="89" t="s">
        <v>809</v>
      </c>
      <c r="J109" s="72" t="s">
        <v>161</v>
      </c>
      <c r="K109" s="79">
        <v>10</v>
      </c>
      <c r="L109" s="76">
        <f t="shared" si="43"/>
        <v>2000000</v>
      </c>
      <c r="M109" s="79">
        <v>2</v>
      </c>
      <c r="N109" s="192">
        <f t="shared" si="44"/>
        <v>40000000</v>
      </c>
      <c r="O109" s="87"/>
      <c r="P109" s="87"/>
      <c r="Q109" s="87">
        <v>40000000</v>
      </c>
      <c r="R109" s="87"/>
      <c r="S109" s="150">
        <f>IF(D109="","-",VLOOKUP(D109,DATOS!$B$47:$C$48,2,0)-SUMIFS(P$2:P109,D$2:D109,D109))</f>
        <v>190000000</v>
      </c>
      <c r="T109" s="150">
        <f>IF(D109="","-",VLOOKUP(D109,DATOS!$B$47:$D$48,3,0)-SUMIFS(Q$2:Q109,D$2:D109,D109))</f>
        <v>258359554</v>
      </c>
      <c r="U109" s="150">
        <f>IF(D109="","-",VLOOKUP(D109,DATOS!$B$47:$E$48,4,0)-SUMIFS(R$2:R109,D$2:D109,D109))</f>
        <v>238930557</v>
      </c>
      <c r="V109" s="150">
        <f>IF(H109="","-",VLOOKUP(H109,DATOS!$D$52:$E$75,2,0)-SUMIFS(N$2:N109,H$2:H109,H109))</f>
        <v>93262748</v>
      </c>
      <c r="W109" s="72"/>
      <c r="X109" s="72"/>
      <c r="Y109" s="72" t="s">
        <v>622</v>
      </c>
      <c r="Z109" s="166" t="str">
        <f t="shared" si="38"/>
        <v xml:space="preserve">
Realizar las actividades para la verificación y ubicación de documentos en la sala de investigación, que provengan de procesos técnicos e ingresos documentales. SGP3</v>
      </c>
      <c r="AA109" s="71" t="s">
        <v>278</v>
      </c>
      <c r="AB109" s="71" t="s">
        <v>278</v>
      </c>
      <c r="AC109" s="79">
        <v>10</v>
      </c>
      <c r="AD109" s="71" t="s">
        <v>271</v>
      </c>
      <c r="AE109" s="72" t="str">
        <f t="shared" si="39"/>
        <v>Contratación directa</v>
      </c>
      <c r="AF109" s="72" t="str">
        <f t="shared" si="41"/>
        <v>Propios</v>
      </c>
      <c r="AG109" s="167">
        <f t="shared" si="42"/>
        <v>40000000</v>
      </c>
      <c r="AH109" s="167">
        <f t="shared" si="40"/>
        <v>40000000</v>
      </c>
      <c r="AI109" s="71" t="s">
        <v>272</v>
      </c>
      <c r="AJ109" s="71" t="s">
        <v>273</v>
      </c>
      <c r="AK109" s="72" t="s">
        <v>274</v>
      </c>
      <c r="AL109" s="71" t="s">
        <v>275</v>
      </c>
      <c r="AM109" s="72" t="s">
        <v>598</v>
      </c>
      <c r="AN109" s="72">
        <v>3282888</v>
      </c>
      <c r="AO109" s="180" t="s">
        <v>599</v>
      </c>
    </row>
    <row r="110" spans="1:41" ht="65.25" customHeight="1" x14ac:dyDescent="0.3">
      <c r="A110" s="83" t="s">
        <v>569</v>
      </c>
      <c r="B110" s="72" t="s">
        <v>209</v>
      </c>
      <c r="C110" s="72" t="s">
        <v>198</v>
      </c>
      <c r="D110" s="72" t="s">
        <v>225</v>
      </c>
      <c r="E110" s="73" t="str">
        <f>IFERROR(VLOOKUP(D110,DATOS!E:F,2,0),"-")</f>
        <v>PROY2</v>
      </c>
      <c r="F110" s="72" t="s">
        <v>172</v>
      </c>
      <c r="G110" s="73" t="str">
        <f>IFERROR(VLOOKUP(F110,DATOS!G:H,2,0),"-")</f>
        <v>C_3302_1603_12_20302B_3302077</v>
      </c>
      <c r="H110" s="72" t="s">
        <v>181</v>
      </c>
      <c r="I110" s="72" t="s">
        <v>588</v>
      </c>
      <c r="J110" s="72" t="s">
        <v>167</v>
      </c>
      <c r="K110" s="79">
        <v>1</v>
      </c>
      <c r="L110" s="76">
        <f t="shared" si="43"/>
        <v>6000000</v>
      </c>
      <c r="M110" s="79">
        <v>1</v>
      </c>
      <c r="N110" s="192">
        <f t="shared" si="44"/>
        <v>6000000</v>
      </c>
      <c r="O110" s="87"/>
      <c r="P110" s="87"/>
      <c r="Q110" s="87"/>
      <c r="R110" s="87">
        <v>6000000</v>
      </c>
      <c r="S110" s="150">
        <f>IF(D110="","-",VLOOKUP(D110,DATOS!$B$47:$C$48,2,0)-SUMIFS(P$2:P110,D$2:D110,D110))</f>
        <v>190000000</v>
      </c>
      <c r="T110" s="150">
        <f>IF(D110="","-",VLOOKUP(D110,DATOS!$B$47:$D$48,3,0)-SUMIFS(Q$2:Q110,D$2:D110,D110))</f>
        <v>258359554</v>
      </c>
      <c r="U110" s="150">
        <f>IF(D110="","-",VLOOKUP(D110,DATOS!$B$47:$E$48,4,0)-SUMIFS(R$2:R110,D$2:D110,D110))</f>
        <v>232930557</v>
      </c>
      <c r="V110" s="150">
        <f>IF(H110="","-",VLOOKUP(H110,DATOS!$D$52:$E$75,2,0)-SUMIFS(N$2:N110,H$2:H110,H110))</f>
        <v>0</v>
      </c>
      <c r="W110" s="72"/>
      <c r="X110" s="72"/>
      <c r="Y110" s="72" t="s">
        <v>623</v>
      </c>
      <c r="Z110" s="166" t="str">
        <f t="shared" si="38"/>
        <v>Adquirir a titulo de compraventa insumos y materiales de papelería. SGP4</v>
      </c>
      <c r="AA110" s="72" t="s">
        <v>277</v>
      </c>
      <c r="AB110" s="72" t="s">
        <v>279</v>
      </c>
      <c r="AC110" s="79">
        <v>1</v>
      </c>
      <c r="AD110" s="71" t="s">
        <v>271</v>
      </c>
      <c r="AE110" s="72" t="str">
        <f t="shared" si="39"/>
        <v>Mínima cuantía</v>
      </c>
      <c r="AF110" s="72" t="str">
        <f t="shared" si="41"/>
        <v>Propios</v>
      </c>
      <c r="AG110" s="167">
        <f t="shared" si="42"/>
        <v>6000000</v>
      </c>
      <c r="AH110" s="167">
        <f t="shared" si="40"/>
        <v>6000000</v>
      </c>
      <c r="AI110" s="71" t="s">
        <v>272</v>
      </c>
      <c r="AJ110" s="71" t="s">
        <v>273</v>
      </c>
      <c r="AK110" s="72" t="s">
        <v>274</v>
      </c>
      <c r="AL110" s="71" t="s">
        <v>275</v>
      </c>
      <c r="AM110" s="72" t="s">
        <v>598</v>
      </c>
      <c r="AN110" s="72">
        <v>3282888</v>
      </c>
      <c r="AO110" s="180" t="s">
        <v>599</v>
      </c>
    </row>
    <row r="111" spans="1:41" ht="64.5" customHeight="1" x14ac:dyDescent="0.3">
      <c r="A111" s="83" t="s">
        <v>570</v>
      </c>
      <c r="B111" s="72" t="s">
        <v>209</v>
      </c>
      <c r="C111" s="72" t="s">
        <v>198</v>
      </c>
      <c r="D111" s="72" t="s">
        <v>225</v>
      </c>
      <c r="E111" s="73" t="str">
        <f>IFERROR(VLOOKUP(D111,DATOS!E:F,2,0),"-")</f>
        <v>PROY2</v>
      </c>
      <c r="F111" s="72" t="s">
        <v>172</v>
      </c>
      <c r="G111" s="73" t="str">
        <f>IFERROR(VLOOKUP(F111,DATOS!G:H,2,0),"-")</f>
        <v>C_3302_1603_12_20302B_3302077</v>
      </c>
      <c r="H111" s="72" t="s">
        <v>180</v>
      </c>
      <c r="I111" s="72" t="s">
        <v>595</v>
      </c>
      <c r="J111" s="72" t="s">
        <v>161</v>
      </c>
      <c r="K111" s="79">
        <v>10</v>
      </c>
      <c r="L111" s="76">
        <f t="shared" si="43"/>
        <v>100000</v>
      </c>
      <c r="M111" s="79">
        <v>1</v>
      </c>
      <c r="N111" s="192">
        <f t="shared" si="44"/>
        <v>1000000</v>
      </c>
      <c r="O111" s="87"/>
      <c r="P111" s="87"/>
      <c r="Q111" s="87">
        <v>1000000</v>
      </c>
      <c r="R111" s="87"/>
      <c r="S111" s="150">
        <f>IF(D111="","-",VLOOKUP(D111,DATOS!$B$47:$C$48,2,0)-SUMIFS(P$2:P111,D$2:D111,D111))</f>
        <v>190000000</v>
      </c>
      <c r="T111" s="150">
        <f>IF(D111="","-",VLOOKUP(D111,DATOS!$B$47:$D$48,3,0)-SUMIFS(Q$2:Q111,D$2:D111,D111))</f>
        <v>257359554</v>
      </c>
      <c r="U111" s="150">
        <f>IF(D111="","-",VLOOKUP(D111,DATOS!$B$47:$E$48,4,0)-SUMIFS(R$2:R111,D$2:D111,D111))</f>
        <v>232930557</v>
      </c>
      <c r="V111" s="150">
        <f>IF(H111="","-",VLOOKUP(H111,DATOS!$D$52:$E$75,2,0)-SUMIFS(N$2:N111,H$2:H111,H111))</f>
        <v>92262748</v>
      </c>
      <c r="W111" s="72"/>
      <c r="X111" s="72"/>
      <c r="Y111" s="72" t="s">
        <v>624</v>
      </c>
      <c r="Z111" s="166" t="str">
        <f t="shared" si="38"/>
        <v>ARL Pasantes Archivo General de la Nación. SGP5</v>
      </c>
      <c r="AA111" s="72" t="s">
        <v>278</v>
      </c>
      <c r="AB111" s="72" t="s">
        <v>278</v>
      </c>
      <c r="AC111" s="79">
        <v>10</v>
      </c>
      <c r="AD111" s="71" t="s">
        <v>271</v>
      </c>
      <c r="AE111" s="72" t="str">
        <f t="shared" si="39"/>
        <v>Contratación directa</v>
      </c>
      <c r="AF111" s="72" t="str">
        <f t="shared" si="41"/>
        <v>Propios</v>
      </c>
      <c r="AG111" s="167">
        <f t="shared" si="42"/>
        <v>1000000</v>
      </c>
      <c r="AH111" s="167">
        <f t="shared" si="40"/>
        <v>1000000</v>
      </c>
      <c r="AI111" s="71" t="s">
        <v>272</v>
      </c>
      <c r="AJ111" s="71" t="s">
        <v>273</v>
      </c>
      <c r="AK111" s="72" t="s">
        <v>274</v>
      </c>
      <c r="AL111" s="71" t="s">
        <v>275</v>
      </c>
      <c r="AM111" s="72" t="s">
        <v>598</v>
      </c>
      <c r="AN111" s="72">
        <v>3282888</v>
      </c>
      <c r="AO111" s="180" t="s">
        <v>599</v>
      </c>
    </row>
    <row r="112" spans="1:41" ht="63.75" customHeight="1" x14ac:dyDescent="0.3">
      <c r="A112" s="83" t="s">
        <v>571</v>
      </c>
      <c r="B112" s="72" t="s">
        <v>209</v>
      </c>
      <c r="C112" s="72" t="s">
        <v>198</v>
      </c>
      <c r="D112" s="72" t="s">
        <v>225</v>
      </c>
      <c r="E112" s="73" t="str">
        <f>IFERROR(VLOOKUP(D112,DATOS!E:F,2,0),"-")</f>
        <v>PROY2</v>
      </c>
      <c r="F112" s="72" t="s">
        <v>172</v>
      </c>
      <c r="G112" s="73" t="str">
        <f>IFERROR(VLOOKUP(F112,DATOS!G:H,2,0),"-")</f>
        <v>C_3302_1603_12_20302B_3302077</v>
      </c>
      <c r="H112" s="72" t="s">
        <v>180</v>
      </c>
      <c r="I112" s="179" t="s">
        <v>589</v>
      </c>
      <c r="J112" s="72" t="s">
        <v>161</v>
      </c>
      <c r="K112" s="79">
        <v>10</v>
      </c>
      <c r="L112" s="76">
        <f t="shared" si="43"/>
        <v>3500000</v>
      </c>
      <c r="M112" s="79">
        <v>1</v>
      </c>
      <c r="N112" s="192">
        <f t="shared" si="44"/>
        <v>35000000</v>
      </c>
      <c r="O112" s="87"/>
      <c r="P112" s="87"/>
      <c r="Q112" s="87"/>
      <c r="R112" s="87">
        <v>35000000</v>
      </c>
      <c r="S112" s="150">
        <f>IF(D112="","-",VLOOKUP(D112,DATOS!$B$47:$C$48,2,0)-SUMIFS(P$2:P112,D$2:D112,D112))</f>
        <v>190000000</v>
      </c>
      <c r="T112" s="150">
        <f>IF(D112="","-",VLOOKUP(D112,DATOS!$B$47:$D$48,3,0)-SUMIFS(Q$2:Q112,D$2:D112,D112))</f>
        <v>257359554</v>
      </c>
      <c r="U112" s="150">
        <f>IF(D112="","-",VLOOKUP(D112,DATOS!$B$47:$E$48,4,0)-SUMIFS(R$2:R112,D$2:D112,D112))</f>
        <v>197930557</v>
      </c>
      <c r="V112" s="150">
        <f>IF(H112="","-",VLOOKUP(H112,DATOS!$D$52:$E$75,2,0)-SUMIFS(N$2:N112,H$2:H112,H112))</f>
        <v>57262748</v>
      </c>
      <c r="W112" s="72"/>
      <c r="X112" s="72"/>
      <c r="Y112" s="79" t="s">
        <v>622</v>
      </c>
      <c r="Z112" s="166" t="str">
        <f t="shared" si="38"/>
        <v>Realizar las actividades de apoyo para el desarrollo del proceso de ingreso documentales conforme a la programacion  del Archivo General de la Nación SGP6</v>
      </c>
      <c r="AA112" s="72" t="s">
        <v>278</v>
      </c>
      <c r="AB112" s="72" t="s">
        <v>278</v>
      </c>
      <c r="AC112" s="79">
        <v>10</v>
      </c>
      <c r="AD112" s="71" t="s">
        <v>271</v>
      </c>
      <c r="AE112" s="72" t="str">
        <f t="shared" si="39"/>
        <v>Contratación directa</v>
      </c>
      <c r="AF112" s="72" t="str">
        <f t="shared" si="41"/>
        <v>Propios</v>
      </c>
      <c r="AG112" s="167">
        <f t="shared" si="42"/>
        <v>35000000</v>
      </c>
      <c r="AH112" s="167">
        <f t="shared" si="40"/>
        <v>35000000</v>
      </c>
      <c r="AI112" s="71" t="s">
        <v>272</v>
      </c>
      <c r="AJ112" s="71" t="s">
        <v>273</v>
      </c>
      <c r="AK112" s="72" t="s">
        <v>274</v>
      </c>
      <c r="AL112" s="71" t="s">
        <v>275</v>
      </c>
      <c r="AM112" s="72" t="s">
        <v>598</v>
      </c>
      <c r="AN112" s="72">
        <v>3282888</v>
      </c>
      <c r="AO112" s="180" t="s">
        <v>599</v>
      </c>
    </row>
    <row r="113" spans="1:41" ht="75.75" customHeight="1" x14ac:dyDescent="0.3">
      <c r="A113" s="83" t="s">
        <v>572</v>
      </c>
      <c r="B113" s="72" t="s">
        <v>209</v>
      </c>
      <c r="C113" s="72" t="s">
        <v>198</v>
      </c>
      <c r="D113" s="72" t="s">
        <v>225</v>
      </c>
      <c r="E113" s="73" t="str">
        <f>IFERROR(VLOOKUP(D113,DATOS!E:F,2,0),"-")</f>
        <v>PROY2</v>
      </c>
      <c r="F113" s="72" t="s">
        <v>172</v>
      </c>
      <c r="G113" s="73" t="str">
        <f>IFERROR(VLOOKUP(F113,DATOS!G:H,2,0),"-")</f>
        <v>C_3302_1603_12_20302B_3302077</v>
      </c>
      <c r="H113" s="72" t="s">
        <v>180</v>
      </c>
      <c r="I113" s="179" t="s">
        <v>596</v>
      </c>
      <c r="J113" s="72" t="s">
        <v>161</v>
      </c>
      <c r="K113" s="79">
        <v>1</v>
      </c>
      <c r="L113" s="76">
        <f t="shared" si="43"/>
        <v>18262748</v>
      </c>
      <c r="M113" s="79">
        <v>1</v>
      </c>
      <c r="N113" s="192">
        <f t="shared" si="44"/>
        <v>18262748</v>
      </c>
      <c r="O113" s="87"/>
      <c r="P113" s="87"/>
      <c r="Q113" s="87">
        <v>7864773</v>
      </c>
      <c r="R113" s="87">
        <v>10397975</v>
      </c>
      <c r="S113" s="150">
        <f>IF(D113="","-",VLOOKUP(D113,DATOS!$B$47:$C$48,2,0)-SUMIFS(P$2:P113,D$2:D113,D113))</f>
        <v>190000000</v>
      </c>
      <c r="T113" s="150">
        <f>IF(D113="","-",VLOOKUP(D113,DATOS!$B$47:$D$48,3,0)-SUMIFS(Q$2:Q113,D$2:D113,D113))</f>
        <v>249494781</v>
      </c>
      <c r="U113" s="150">
        <f>IF(D113="","-",VLOOKUP(D113,DATOS!$B$47:$E$48,4,0)-SUMIFS(R$2:R113,D$2:D113,D113))</f>
        <v>187532582</v>
      </c>
      <c r="V113" s="150">
        <f>IF(H113="","-",VLOOKUP(H113,DATOS!$D$52:$E$75,2,0)-SUMIFS(N$2:N113,H$2:H113,H113))</f>
        <v>39000000</v>
      </c>
      <c r="W113" s="72"/>
      <c r="X113" s="72"/>
      <c r="Y113" s="79" t="s">
        <v>622</v>
      </c>
      <c r="Z113" s="166" t="str">
        <f t="shared" si="38"/>
        <v>Alquiler de STAND Feria del Libro, con el propósito de adelantar acciones de divulgación y difusión del patrimonio documental colombiano en el marco de la FILBO 2024. SGP7.</v>
      </c>
      <c r="AA113" s="72" t="s">
        <v>278</v>
      </c>
      <c r="AB113" s="72" t="s">
        <v>277</v>
      </c>
      <c r="AC113" s="79">
        <v>1</v>
      </c>
      <c r="AD113" s="71" t="s">
        <v>271</v>
      </c>
      <c r="AE113" s="72" t="str">
        <f t="shared" si="39"/>
        <v>Contratación directa</v>
      </c>
      <c r="AF113" s="72" t="str">
        <f t="shared" si="41"/>
        <v>Propios</v>
      </c>
      <c r="AG113" s="167">
        <f t="shared" si="42"/>
        <v>18262748</v>
      </c>
      <c r="AH113" s="167">
        <f t="shared" si="40"/>
        <v>18262748</v>
      </c>
      <c r="AI113" s="71" t="s">
        <v>272</v>
      </c>
      <c r="AJ113" s="71" t="s">
        <v>273</v>
      </c>
      <c r="AK113" s="72" t="s">
        <v>274</v>
      </c>
      <c r="AL113" s="71" t="s">
        <v>275</v>
      </c>
      <c r="AM113" s="72" t="s">
        <v>598</v>
      </c>
      <c r="AN113" s="72">
        <v>3282888</v>
      </c>
      <c r="AO113" s="180" t="s">
        <v>599</v>
      </c>
    </row>
    <row r="114" spans="1:41" ht="76.5" customHeight="1" x14ac:dyDescent="0.3">
      <c r="A114" s="83" t="s">
        <v>573</v>
      </c>
      <c r="B114" s="72" t="s">
        <v>209</v>
      </c>
      <c r="C114" s="72" t="s">
        <v>198</v>
      </c>
      <c r="D114" s="72" t="s">
        <v>225</v>
      </c>
      <c r="E114" s="73" t="str">
        <f>IFERROR(VLOOKUP(D114,DATOS!E:F,2,0),"-")</f>
        <v>PROY2</v>
      </c>
      <c r="F114" s="72" t="s">
        <v>172</v>
      </c>
      <c r="G114" s="73" t="str">
        <f>IFERROR(VLOOKUP(F114,DATOS!G:H,2,0),"-")</f>
        <v>C_3302_1603_12_20302B_3302077</v>
      </c>
      <c r="H114" s="72" t="s">
        <v>180</v>
      </c>
      <c r="I114" s="179" t="s">
        <v>597</v>
      </c>
      <c r="J114" s="72" t="s">
        <v>161</v>
      </c>
      <c r="K114" s="79">
        <v>10</v>
      </c>
      <c r="L114" s="76">
        <f t="shared" si="43"/>
        <v>3900000</v>
      </c>
      <c r="M114" s="79">
        <v>1</v>
      </c>
      <c r="N114" s="192">
        <f t="shared" si="44"/>
        <v>39000000</v>
      </c>
      <c r="O114" s="87"/>
      <c r="P114" s="87"/>
      <c r="Q114" s="87">
        <v>33000000</v>
      </c>
      <c r="R114" s="87">
        <v>6000000</v>
      </c>
      <c r="S114" s="150">
        <f>IF(D114="","-",VLOOKUP(D114,DATOS!$B$47:$C$48,2,0)-SUMIFS(P$2:P114,D$2:D114,D114))</f>
        <v>190000000</v>
      </c>
      <c r="T114" s="150">
        <f>IF(D114="","-",VLOOKUP(D114,DATOS!$B$47:$D$48,3,0)-SUMIFS(Q$2:Q114,D$2:D114,D114))</f>
        <v>216494781</v>
      </c>
      <c r="U114" s="150">
        <f>IF(D114="","-",VLOOKUP(D114,DATOS!$B$47:$E$48,4,0)-SUMIFS(R$2:R114,D$2:D114,D114))</f>
        <v>181532582</v>
      </c>
      <c r="V114" s="150">
        <f>IF(H114="","-",VLOOKUP(H114,DATOS!$D$52:$E$75,2,0)-SUMIFS(N$2:N114,H$2:H114,H114))</f>
        <v>0</v>
      </c>
      <c r="W114" s="72"/>
      <c r="X114" s="72"/>
      <c r="Y114" s="79" t="s">
        <v>622</v>
      </c>
      <c r="Z114" s="166" t="str">
        <f t="shared" si="38"/>
        <v>Piloto para la recolección permante de información actualizar el Censo Nacional de Archivos. SGP8.</v>
      </c>
      <c r="AA114" s="72" t="s">
        <v>278</v>
      </c>
      <c r="AB114" s="72" t="s">
        <v>278</v>
      </c>
      <c r="AC114" s="79">
        <v>10</v>
      </c>
      <c r="AD114" s="71" t="s">
        <v>271</v>
      </c>
      <c r="AE114" s="72" t="str">
        <f t="shared" si="39"/>
        <v>Contratación directa</v>
      </c>
      <c r="AF114" s="72" t="str">
        <f t="shared" si="41"/>
        <v>Propios</v>
      </c>
      <c r="AG114" s="167">
        <f t="shared" si="42"/>
        <v>39000000</v>
      </c>
      <c r="AH114" s="167">
        <f t="shared" si="40"/>
        <v>39000000</v>
      </c>
      <c r="AI114" s="71" t="s">
        <v>272</v>
      </c>
      <c r="AJ114" s="71" t="s">
        <v>273</v>
      </c>
      <c r="AK114" s="72" t="s">
        <v>274</v>
      </c>
      <c r="AL114" s="71" t="s">
        <v>275</v>
      </c>
      <c r="AM114" s="72" t="s">
        <v>598</v>
      </c>
      <c r="AN114" s="72">
        <v>3282888</v>
      </c>
      <c r="AO114" s="180" t="s">
        <v>599</v>
      </c>
    </row>
    <row r="115" spans="1:41" ht="78.75" customHeight="1" x14ac:dyDescent="0.3">
      <c r="A115" s="79" t="s">
        <v>605</v>
      </c>
      <c r="B115" s="72" t="s">
        <v>217</v>
      </c>
      <c r="C115" s="72" t="s">
        <v>198</v>
      </c>
      <c r="D115" s="72" t="s">
        <v>225</v>
      </c>
      <c r="E115" s="73" t="str">
        <f>IFERROR(VLOOKUP(D115,DATOS!E:F,2,0),"-")</f>
        <v>PROY2</v>
      </c>
      <c r="F115" s="72" t="s">
        <v>166</v>
      </c>
      <c r="G115" s="73" t="str">
        <f>IFERROR(VLOOKUP(F115,DATOS!G:H,2,0),"-")</f>
        <v>C_3302_1603_12_20302B_3302047</v>
      </c>
      <c r="H115" s="72" t="s">
        <v>232</v>
      </c>
      <c r="I115" s="181" t="s">
        <v>611</v>
      </c>
      <c r="J115" s="72" t="s">
        <v>161</v>
      </c>
      <c r="K115" s="79">
        <v>11</v>
      </c>
      <c r="L115" s="76">
        <f t="shared" si="43"/>
        <v>5800000</v>
      </c>
      <c r="M115" s="181">
        <v>2</v>
      </c>
      <c r="N115" s="192">
        <f t="shared" si="44"/>
        <v>127600000</v>
      </c>
      <c r="O115" s="87"/>
      <c r="P115" s="87">
        <v>127600000</v>
      </c>
      <c r="Q115" s="87">
        <v>0</v>
      </c>
      <c r="R115" s="87">
        <v>0</v>
      </c>
      <c r="S115" s="150">
        <f>IF(D115="","-",VLOOKUP(D115,DATOS!$B$47:$C$48,2,0)-SUMIFS(P$2:P115,D$2:D115,D115))</f>
        <v>62400000</v>
      </c>
      <c r="T115" s="150">
        <f>IF(D115="","-",VLOOKUP(D115,DATOS!$B$47:$D$48,3,0)-SUMIFS(Q$2:Q115,D$2:D115,D115))</f>
        <v>216494781</v>
      </c>
      <c r="U115" s="150">
        <f>IF(D115="","-",VLOOKUP(D115,DATOS!$B$47:$E$48,4,0)-SUMIFS(R$2:R115,D$2:D115,D115))</f>
        <v>181532582</v>
      </c>
      <c r="V115" s="150">
        <f>IF(H115="","-",VLOOKUP(H115,DATOS!$D$52:$E$75,2,0)-SUMIFS(N$2:N115,H$2:H115,H115))</f>
        <v>347127363</v>
      </c>
      <c r="W115" s="72"/>
      <c r="X115" s="72"/>
      <c r="Y115" s="72">
        <v>801116000</v>
      </c>
      <c r="Z115" s="166" t="str">
        <f t="shared" si="38"/>
        <v>Contrato de prestación de servicios profesionales de  archivista o historiador o carreras afines a las ciencias sociales para visitas de inspección, vigilancia y control, en el marco de la meta estratégica de descongestión del 80% en ela vigencia 2024</v>
      </c>
      <c r="AA115" s="72" t="s">
        <v>292</v>
      </c>
      <c r="AB115" s="72" t="s">
        <v>292</v>
      </c>
      <c r="AC115" s="79">
        <v>11</v>
      </c>
      <c r="AD115" s="71" t="s">
        <v>271</v>
      </c>
      <c r="AE115" s="72" t="str">
        <f t="shared" si="39"/>
        <v>Contratación directa</v>
      </c>
      <c r="AF115" s="72" t="str">
        <f t="shared" ref="AF115:AF121" si="45">IF(SUM(O115:R115)=0,"-",IF(SUM(O115:P115)&gt;=SUM(Q115:R115),"Nación","Propios"))</f>
        <v>Nación</v>
      </c>
      <c r="AG115" s="167">
        <f t="shared" ref="AG115:AG120" si="46">AH115</f>
        <v>127600000</v>
      </c>
      <c r="AH115" s="167">
        <f t="shared" si="40"/>
        <v>127600000</v>
      </c>
      <c r="AI115" s="71" t="s">
        <v>272</v>
      </c>
      <c r="AJ115" s="71" t="s">
        <v>273</v>
      </c>
      <c r="AK115" s="72" t="s">
        <v>274</v>
      </c>
      <c r="AL115" s="71" t="s">
        <v>275</v>
      </c>
      <c r="AM115" s="79" t="s">
        <v>616</v>
      </c>
      <c r="AN115" s="72">
        <v>3282888</v>
      </c>
      <c r="AO115" s="182" t="s">
        <v>615</v>
      </c>
    </row>
    <row r="116" spans="1:41" ht="78.75" customHeight="1" x14ac:dyDescent="0.3">
      <c r="A116" s="79" t="s">
        <v>606</v>
      </c>
      <c r="B116" s="72" t="s">
        <v>217</v>
      </c>
      <c r="C116" s="72" t="s">
        <v>198</v>
      </c>
      <c r="D116" s="72" t="s">
        <v>225</v>
      </c>
      <c r="E116" s="73" t="str">
        <f>IFERROR(VLOOKUP(D116,DATOS!E:F,2,0),"-")</f>
        <v>PROY2</v>
      </c>
      <c r="F116" s="72" t="s">
        <v>166</v>
      </c>
      <c r="G116" s="73" t="str">
        <f>IFERROR(VLOOKUP(F116,DATOS!G:H,2,0),"-")</f>
        <v>C_3302_1603_12_20302B_3302047</v>
      </c>
      <c r="H116" s="72" t="s">
        <v>232</v>
      </c>
      <c r="I116" s="72" t="s">
        <v>612</v>
      </c>
      <c r="J116" s="72" t="s">
        <v>161</v>
      </c>
      <c r="K116" s="79">
        <v>11</v>
      </c>
      <c r="L116" s="76">
        <f t="shared" si="43"/>
        <v>6500000</v>
      </c>
      <c r="M116" s="72">
        <v>3</v>
      </c>
      <c r="N116" s="192">
        <f t="shared" si="44"/>
        <v>214500000</v>
      </c>
      <c r="O116" s="87"/>
      <c r="P116" s="87">
        <v>0</v>
      </c>
      <c r="Q116" s="87">
        <v>165594781</v>
      </c>
      <c r="R116" s="87">
        <v>48905219</v>
      </c>
      <c r="S116" s="150">
        <f>IF(D116="","-",VLOOKUP(D116,DATOS!$B$47:$C$48,2,0)-SUMIFS(P$2:P116,D$2:D116,D116))</f>
        <v>62400000</v>
      </c>
      <c r="T116" s="150">
        <f>IF(D116="","-",VLOOKUP(D116,DATOS!$B$47:$D$48,3,0)-SUMIFS(Q$2:Q116,D$2:D116,D116))</f>
        <v>50900000</v>
      </c>
      <c r="U116" s="150">
        <f>IF(D116="","-",VLOOKUP(D116,DATOS!$B$47:$E$48,4,0)-SUMIFS(R$2:R116,D$2:D116,D116))</f>
        <v>132627363</v>
      </c>
      <c r="V116" s="150">
        <f>IF(H116="","-",VLOOKUP(H116,DATOS!$D$52:$E$75,2,0)-SUMIFS(N$2:N116,H$2:H116,H116))</f>
        <v>132627363</v>
      </c>
      <c r="W116" s="72"/>
      <c r="X116" s="72"/>
      <c r="Y116" s="72">
        <v>801116000</v>
      </c>
      <c r="Z116" s="166" t="str">
        <f t="shared" si="38"/>
        <v>Contrato de prestación de servicios profesionales Con formación en derecho para visitas de inspección, vigilancia y control en el marco de la meta estratégica de descongestión del 80% en la vigencia 2024</v>
      </c>
      <c r="AA116" s="72" t="s">
        <v>292</v>
      </c>
      <c r="AB116" s="72" t="s">
        <v>292</v>
      </c>
      <c r="AC116" s="79">
        <v>11</v>
      </c>
      <c r="AD116" s="71" t="s">
        <v>271</v>
      </c>
      <c r="AE116" s="72" t="str">
        <f t="shared" si="39"/>
        <v>Contratación directa</v>
      </c>
      <c r="AF116" s="72" t="str">
        <f t="shared" si="45"/>
        <v>Propios</v>
      </c>
      <c r="AG116" s="167">
        <f t="shared" si="46"/>
        <v>214500000</v>
      </c>
      <c r="AH116" s="167">
        <f t="shared" si="40"/>
        <v>214500000</v>
      </c>
      <c r="AI116" s="71" t="s">
        <v>272</v>
      </c>
      <c r="AJ116" s="71" t="s">
        <v>273</v>
      </c>
      <c r="AK116" s="72" t="s">
        <v>274</v>
      </c>
      <c r="AL116" s="71" t="s">
        <v>275</v>
      </c>
      <c r="AM116" s="79" t="s">
        <v>616</v>
      </c>
      <c r="AN116" s="72">
        <v>3282888</v>
      </c>
      <c r="AO116" s="182" t="s">
        <v>615</v>
      </c>
    </row>
    <row r="117" spans="1:41" ht="72" customHeight="1" x14ac:dyDescent="0.3">
      <c r="A117" s="79" t="s">
        <v>607</v>
      </c>
      <c r="B117" s="72" t="s">
        <v>217</v>
      </c>
      <c r="C117" s="72" t="s">
        <v>198</v>
      </c>
      <c r="D117" s="72" t="s">
        <v>225</v>
      </c>
      <c r="E117" s="73" t="str">
        <f>IFERROR(VLOOKUP(D117,DATOS!E:F,2,0),"-")</f>
        <v>PROY2</v>
      </c>
      <c r="F117" s="72" t="s">
        <v>166</v>
      </c>
      <c r="G117" s="73" t="str">
        <f>IFERROR(VLOOKUP(F117,DATOS!G:H,2,0),"-")</f>
        <v>C_3302_1603_12_20302B_3302047</v>
      </c>
      <c r="H117" s="72" t="s">
        <v>233</v>
      </c>
      <c r="I117" s="72" t="s">
        <v>613</v>
      </c>
      <c r="J117" s="72" t="s">
        <v>161</v>
      </c>
      <c r="K117" s="79">
        <v>11</v>
      </c>
      <c r="L117" s="76">
        <f t="shared" si="43"/>
        <v>6500000</v>
      </c>
      <c r="M117" s="72">
        <v>1</v>
      </c>
      <c r="N117" s="192">
        <f t="shared" si="44"/>
        <v>71500000</v>
      </c>
      <c r="O117" s="87"/>
      <c r="P117" s="87">
        <v>20600000</v>
      </c>
      <c r="Q117" s="87">
        <v>50900000</v>
      </c>
      <c r="R117" s="87">
        <v>0</v>
      </c>
      <c r="S117" s="150">
        <f>IF(D117="","-",VLOOKUP(D117,DATOS!$B$47:$C$48,2,0)-SUMIFS(P$2:P117,D$2:D117,D117))</f>
        <v>41800000</v>
      </c>
      <c r="T117" s="150">
        <f>IF(D117="","-",VLOOKUP(D117,DATOS!$B$47:$D$48,3,0)-SUMIFS(Q$2:Q117,D$2:D117,D117))</f>
        <v>0</v>
      </c>
      <c r="U117" s="150">
        <f>IF(D117="","-",VLOOKUP(D117,DATOS!$B$47:$E$48,4,0)-SUMIFS(R$2:R117,D$2:D117,D117))</f>
        <v>132627363</v>
      </c>
      <c r="V117" s="150">
        <f>IF(H117="","-",VLOOKUP(H117,DATOS!$D$52:$E$75,2,0)-SUMIFS(N$2:N117,H$2:H117,H117))</f>
        <v>41800000</v>
      </c>
      <c r="W117" s="72"/>
      <c r="X117" s="72"/>
      <c r="Y117" s="72">
        <v>801116000</v>
      </c>
      <c r="Z117" s="166" t="str">
        <f t="shared" si="38"/>
        <v>Contrato de prestación de servicios profesionales de un profesional en Economía o carreras afines para seguimiento  a asuntos financieros y de planeación , en el marco de la meta estratégica de descongestión del 80% en ela vigencia 2024</v>
      </c>
      <c r="AA117" s="72" t="s">
        <v>292</v>
      </c>
      <c r="AB117" s="72" t="s">
        <v>292</v>
      </c>
      <c r="AC117" s="79">
        <v>11</v>
      </c>
      <c r="AD117" s="71" t="s">
        <v>271</v>
      </c>
      <c r="AE117" s="72" t="str">
        <f t="shared" si="39"/>
        <v>Contratación directa</v>
      </c>
      <c r="AF117" s="72" t="str">
        <f t="shared" si="45"/>
        <v>Propios</v>
      </c>
      <c r="AG117" s="167">
        <f t="shared" si="46"/>
        <v>71500000</v>
      </c>
      <c r="AH117" s="167">
        <f t="shared" si="40"/>
        <v>71500000</v>
      </c>
      <c r="AI117" s="71" t="s">
        <v>272</v>
      </c>
      <c r="AJ117" s="71" t="s">
        <v>273</v>
      </c>
      <c r="AK117" s="72" t="s">
        <v>274</v>
      </c>
      <c r="AL117" s="71" t="s">
        <v>275</v>
      </c>
      <c r="AM117" s="79" t="s">
        <v>616</v>
      </c>
      <c r="AN117" s="72">
        <v>3282888</v>
      </c>
      <c r="AO117" s="182" t="s">
        <v>615</v>
      </c>
    </row>
    <row r="118" spans="1:41" ht="64.5" customHeight="1" x14ac:dyDescent="0.3">
      <c r="A118" s="79" t="s">
        <v>608</v>
      </c>
      <c r="B118" s="72" t="s">
        <v>217</v>
      </c>
      <c r="C118" s="72" t="s">
        <v>198</v>
      </c>
      <c r="D118" s="72" t="s">
        <v>225</v>
      </c>
      <c r="E118" s="73" t="str">
        <f>IFERROR(VLOOKUP(D118,DATOS!E:F,2,0),"-")</f>
        <v>PROY2</v>
      </c>
      <c r="F118" s="72" t="s">
        <v>166</v>
      </c>
      <c r="G118" s="73" t="str">
        <f>IFERROR(VLOOKUP(F118,DATOS!G:H,2,0),"-")</f>
        <v>C_3302_1603_12_20302B_3302047</v>
      </c>
      <c r="H118" s="72" t="s">
        <v>233</v>
      </c>
      <c r="I118" s="72" t="s">
        <v>614</v>
      </c>
      <c r="J118" s="72" t="s">
        <v>161</v>
      </c>
      <c r="K118" s="79">
        <v>11</v>
      </c>
      <c r="L118" s="76">
        <f t="shared" si="43"/>
        <v>3800000</v>
      </c>
      <c r="M118" s="72">
        <v>1</v>
      </c>
      <c r="N118" s="192">
        <f t="shared" si="44"/>
        <v>41800000</v>
      </c>
      <c r="O118" s="87"/>
      <c r="P118" s="87">
        <v>41800000</v>
      </c>
      <c r="Q118" s="87">
        <v>0</v>
      </c>
      <c r="R118" s="87">
        <v>0</v>
      </c>
      <c r="S118" s="150">
        <f>IF(D118="","-",VLOOKUP(D118,DATOS!$B$47:$C$48,2,0)-SUMIFS(P$2:P118,D$2:D118,D118))</f>
        <v>0</v>
      </c>
      <c r="T118" s="150">
        <f>IF(D118="","-",VLOOKUP(D118,DATOS!$B$47:$D$48,3,0)-SUMIFS(Q$2:Q118,D$2:D118,D118))</f>
        <v>0</v>
      </c>
      <c r="U118" s="150">
        <f>IF(D118="","-",VLOOKUP(D118,DATOS!$B$47:$E$48,4,0)-SUMIFS(R$2:R118,D$2:D118,D118))</f>
        <v>132627363</v>
      </c>
      <c r="V118" s="150">
        <f>IF(H118="","-",VLOOKUP(H118,DATOS!$D$52:$E$75,2,0)-SUMIFS(N$2:N118,H$2:H118,H118))</f>
        <v>0</v>
      </c>
      <c r="W118" s="72"/>
      <c r="X118" s="72"/>
      <c r="Y118" s="72">
        <v>801116000</v>
      </c>
      <c r="Z118" s="166" t="str">
        <f t="shared" si="38"/>
        <v>Contrato de prestación de servicios de un técnico archivista que apoye en la gestión de los expedientes del archivo de la Subdirección, Vigilancia y Control, en el marco de la meta estratégica de descongestión del 80% en ela vigencia 2024</v>
      </c>
      <c r="AA118" s="72" t="s">
        <v>292</v>
      </c>
      <c r="AB118" s="72" t="s">
        <v>292</v>
      </c>
      <c r="AC118" s="79">
        <v>11</v>
      </c>
      <c r="AD118" s="71" t="s">
        <v>271</v>
      </c>
      <c r="AE118" s="72" t="str">
        <f t="shared" si="39"/>
        <v>Contratación directa</v>
      </c>
      <c r="AF118" s="72" t="str">
        <f t="shared" si="45"/>
        <v>Nación</v>
      </c>
      <c r="AG118" s="167">
        <f t="shared" si="46"/>
        <v>41800000</v>
      </c>
      <c r="AH118" s="167">
        <f t="shared" si="40"/>
        <v>41800000</v>
      </c>
      <c r="AI118" s="71" t="s">
        <v>272</v>
      </c>
      <c r="AJ118" s="71" t="s">
        <v>273</v>
      </c>
      <c r="AK118" s="72" t="s">
        <v>274</v>
      </c>
      <c r="AL118" s="71" t="s">
        <v>275</v>
      </c>
      <c r="AM118" s="79" t="s">
        <v>616</v>
      </c>
      <c r="AN118" s="72">
        <v>3282888</v>
      </c>
      <c r="AO118" s="182" t="s">
        <v>615</v>
      </c>
    </row>
    <row r="119" spans="1:41" ht="66" customHeight="1" x14ac:dyDescent="0.3">
      <c r="A119" s="79" t="s">
        <v>609</v>
      </c>
      <c r="B119" s="72" t="s">
        <v>217</v>
      </c>
      <c r="C119" s="72" t="s">
        <v>198</v>
      </c>
      <c r="D119" s="72" t="s">
        <v>225</v>
      </c>
      <c r="E119" s="73" t="str">
        <f>IFERROR(VLOOKUP(D119,DATOS!E:F,2,0),"-")</f>
        <v>PROY2</v>
      </c>
      <c r="F119" s="72" t="s">
        <v>166</v>
      </c>
      <c r="G119" s="73" t="str">
        <f>IFERROR(VLOOKUP(F119,DATOS!G:H,2,0),"-")</f>
        <v>C_3302_1603_12_20302B_3302047</v>
      </c>
      <c r="H119" s="72" t="s">
        <v>232</v>
      </c>
      <c r="I119" s="187" t="s">
        <v>480</v>
      </c>
      <c r="J119" s="79"/>
      <c r="K119" s="79"/>
      <c r="L119" s="76"/>
      <c r="M119" s="79" t="s">
        <v>324</v>
      </c>
      <c r="N119" s="192">
        <f t="shared" si="44"/>
        <v>86000000</v>
      </c>
      <c r="O119" s="87"/>
      <c r="P119" s="87">
        <v>0</v>
      </c>
      <c r="Q119" s="87">
        <v>0</v>
      </c>
      <c r="R119" s="87">
        <v>86000000</v>
      </c>
      <c r="S119" s="150">
        <f>IF(D119="","-",VLOOKUP(D119,DATOS!$B$47:$C$48,2,0)-SUMIFS(P$2:P119,D$2:D119,D119))</f>
        <v>0</v>
      </c>
      <c r="T119" s="150">
        <f>IF(D119="","-",VLOOKUP(D119,DATOS!$B$47:$D$48,3,0)-SUMIFS(Q$2:Q119,D$2:D119,D119))</f>
        <v>0</v>
      </c>
      <c r="U119" s="150">
        <f>IF(D119="","-",VLOOKUP(D119,DATOS!$B$47:$E$48,4,0)-SUMIFS(R$2:R119,D$2:D119,D119))</f>
        <v>46627363</v>
      </c>
      <c r="V119" s="150">
        <f>IF(H119="","-",VLOOKUP(H119,DATOS!$D$52:$E$75,2,0)-SUMIFS(N$2:N119,H$2:H119,H119))</f>
        <v>46627363</v>
      </c>
      <c r="W119" s="72"/>
      <c r="X119" s="71" t="s">
        <v>295</v>
      </c>
      <c r="Y119" s="72"/>
      <c r="Z119" s="166"/>
      <c r="AA119" s="72"/>
      <c r="AB119" s="72"/>
      <c r="AC119" s="71"/>
      <c r="AD119" s="71"/>
      <c r="AE119" s="72" t="str">
        <f t="shared" si="39"/>
        <v/>
      </c>
      <c r="AF119" s="72"/>
      <c r="AG119" s="167"/>
      <c r="AH119" s="167"/>
      <c r="AI119" s="71"/>
      <c r="AJ119" s="71"/>
      <c r="AK119" s="72"/>
      <c r="AL119" s="71"/>
      <c r="AM119" s="79"/>
      <c r="AN119" s="79"/>
      <c r="AO119" s="90"/>
    </row>
    <row r="120" spans="1:41" ht="75.75" customHeight="1" x14ac:dyDescent="0.3">
      <c r="A120" s="79" t="s">
        <v>627</v>
      </c>
      <c r="B120" s="72" t="s">
        <v>217</v>
      </c>
      <c r="C120" s="72" t="s">
        <v>198</v>
      </c>
      <c r="D120" s="72" t="s">
        <v>225</v>
      </c>
      <c r="E120" s="73" t="str">
        <f>IFERROR(VLOOKUP(D120,DATOS!E:F,2,0),"-")</f>
        <v>PROY2</v>
      </c>
      <c r="F120" s="72" t="s">
        <v>166</v>
      </c>
      <c r="G120" s="73" t="str">
        <f>IFERROR(VLOOKUP(F120,DATOS!G:H,2,0),"-")</f>
        <v>C_3302_1603_12_20302B_3302047</v>
      </c>
      <c r="H120" s="72" t="s">
        <v>232</v>
      </c>
      <c r="I120" s="187" t="s">
        <v>628</v>
      </c>
      <c r="J120" s="72" t="s">
        <v>171</v>
      </c>
      <c r="K120" s="79">
        <v>10</v>
      </c>
      <c r="L120" s="76">
        <f t="shared" si="43"/>
        <v>4662736.3</v>
      </c>
      <c r="M120" s="79">
        <v>1</v>
      </c>
      <c r="N120" s="192">
        <f t="shared" si="44"/>
        <v>46627363</v>
      </c>
      <c r="O120" s="87"/>
      <c r="P120" s="87">
        <v>0</v>
      </c>
      <c r="Q120" s="87">
        <v>0</v>
      </c>
      <c r="R120" s="87">
        <v>46627363</v>
      </c>
      <c r="S120" s="150">
        <f>IF(D120="","-",VLOOKUP(D120,DATOS!$B$47:$C$48,2,0)-SUMIFS(P$2:P120,D$2:D120,D120))</f>
        <v>0</v>
      </c>
      <c r="T120" s="150">
        <f>IF(D120="","-",VLOOKUP(D120,DATOS!$B$47:$D$48,3,0)-SUMIFS(Q$2:Q120,D$2:D120,D120))</f>
        <v>0</v>
      </c>
      <c r="U120" s="150">
        <f>IF(D120="","-",VLOOKUP(D120,DATOS!$B$47:$E$48,4,0)-SUMIFS(R$2:R120,D$2:D120,D120))</f>
        <v>0</v>
      </c>
      <c r="V120" s="150">
        <f>IF(H120="","-",VLOOKUP(H120,DATOS!$D$52:$E$75,2,0)-SUMIFS(N$2:N120,H$2:H120,H120))</f>
        <v>0</v>
      </c>
      <c r="W120" s="72"/>
      <c r="X120" s="79" t="s">
        <v>610</v>
      </c>
      <c r="Y120" s="72" t="s">
        <v>545</v>
      </c>
      <c r="Z120" s="166" t="str">
        <f t="shared" ref="Z120:Z151" si="47">IF(I120="","",I120)</f>
        <v>Prestar el servicio de suministro de tiquetes aéreos a nivel nacional e internacional, en tarifas económicas y en los horarios requeridos por el Archivo General de la Nación Jorge Palacios Preciado. SIV8</v>
      </c>
      <c r="AA120" s="71" t="s">
        <v>278</v>
      </c>
      <c r="AB120" s="71" t="s">
        <v>278</v>
      </c>
      <c r="AC120" s="83">
        <v>10</v>
      </c>
      <c r="AD120" s="71" t="s">
        <v>271</v>
      </c>
      <c r="AE120" s="72" t="str">
        <f t="shared" ref="AE120:AE151" si="48">IF(J120="","",J120)</f>
        <v>Selección abreviada de menor cuantía</v>
      </c>
      <c r="AF120" s="72" t="str">
        <f t="shared" si="45"/>
        <v>Propios</v>
      </c>
      <c r="AG120" s="167">
        <f t="shared" si="46"/>
        <v>46627363</v>
      </c>
      <c r="AH120" s="167">
        <f t="shared" ref="AH120:AH151" si="49">IF(N120="","",N120)</f>
        <v>46627363</v>
      </c>
      <c r="AI120" s="71" t="s">
        <v>272</v>
      </c>
      <c r="AJ120" s="71" t="s">
        <v>273</v>
      </c>
      <c r="AK120" s="72" t="s">
        <v>274</v>
      </c>
      <c r="AL120" s="71" t="s">
        <v>275</v>
      </c>
      <c r="AM120" s="79" t="s">
        <v>616</v>
      </c>
      <c r="AN120" s="72">
        <v>3282888</v>
      </c>
      <c r="AO120" s="182" t="s">
        <v>615</v>
      </c>
    </row>
    <row r="121" spans="1:41" ht="78.75" customHeight="1" x14ac:dyDescent="0.3">
      <c r="A121" s="71" t="s">
        <v>634</v>
      </c>
      <c r="B121" s="72" t="s">
        <v>163</v>
      </c>
      <c r="C121" s="72" t="s">
        <v>206</v>
      </c>
      <c r="D121" s="72" t="s">
        <v>224</v>
      </c>
      <c r="E121" s="73" t="str">
        <f>IFERROR(VLOOKUP(D121,DATOS!E:F,2,0),"-")</f>
        <v>PROY1</v>
      </c>
      <c r="F121" s="72" t="s">
        <v>177</v>
      </c>
      <c r="G121" s="73" t="str">
        <f>IFERROR(VLOOKUP(F121,DATOS!G:H,2,0),"-")</f>
        <v>C_3399_1603_6_20302D_3399062</v>
      </c>
      <c r="H121" s="72" t="s">
        <v>187</v>
      </c>
      <c r="I121" s="91" t="s">
        <v>657</v>
      </c>
      <c r="J121" s="72" t="s">
        <v>161</v>
      </c>
      <c r="K121" s="79">
        <v>9</v>
      </c>
      <c r="L121" s="76">
        <f t="shared" si="43"/>
        <v>3600000</v>
      </c>
      <c r="M121" s="79">
        <v>3</v>
      </c>
      <c r="N121" s="192">
        <f t="shared" si="44"/>
        <v>97200000</v>
      </c>
      <c r="O121" s="87">
        <v>0</v>
      </c>
      <c r="P121" s="87">
        <v>97200000</v>
      </c>
      <c r="Q121" s="87">
        <v>0</v>
      </c>
      <c r="R121" s="87">
        <v>0</v>
      </c>
      <c r="S121" s="150">
        <f>IF(D121="","-",VLOOKUP(D121,DATOS!$B$47:$C$48,2,0)-SUMIFS(P$2:P121,D$2:D121,D121))</f>
        <v>19273751086</v>
      </c>
      <c r="T121" s="150">
        <f>IF(D121="","-",VLOOKUP(D121,DATOS!$B$47:$D$48,3,0)-SUMIFS(Q$2:Q121,D$2:D121,D121))</f>
        <v>633818927</v>
      </c>
      <c r="U121" s="150">
        <f>IF(D121="","-",VLOOKUP(D121,DATOS!$B$47:$E$48,4,0)-SUMIFS(R$2:R121,D$2:D121,D121))</f>
        <v>327856486</v>
      </c>
      <c r="V121" s="150">
        <f>IF(H121="","-",VLOOKUP(H121,DATOS!$D$52:$E$75,2,0)-SUMIFS(N$2:N121,H$2:H121,H121))</f>
        <v>3339954135</v>
      </c>
      <c r="W121" s="72"/>
      <c r="X121" s="72"/>
      <c r="Y121" s="72" t="s">
        <v>419</v>
      </c>
      <c r="Z121" s="166" t="str">
        <f t="shared" si="47"/>
        <v>Contratar los servicios técnicos de personal para la solución de requerimientos e incidentes registrados en la mesa de servicios del Archivo General de la Nación SGGTI01</v>
      </c>
      <c r="AA121" s="71" t="s">
        <v>292</v>
      </c>
      <c r="AB121" s="71" t="s">
        <v>292</v>
      </c>
      <c r="AC121" s="71">
        <v>9</v>
      </c>
      <c r="AD121" s="71" t="s">
        <v>271</v>
      </c>
      <c r="AE121" s="72" t="str">
        <f t="shared" si="48"/>
        <v>Contratación directa</v>
      </c>
      <c r="AF121" s="72" t="str">
        <f t="shared" si="45"/>
        <v>Nación</v>
      </c>
      <c r="AG121" s="167">
        <f t="shared" ref="AG121" si="50">AH121</f>
        <v>97200000</v>
      </c>
      <c r="AH121" s="167">
        <f t="shared" si="49"/>
        <v>97200000</v>
      </c>
      <c r="AI121" s="71" t="s">
        <v>272</v>
      </c>
      <c r="AJ121" s="71" t="s">
        <v>273</v>
      </c>
      <c r="AK121" s="72" t="s">
        <v>274</v>
      </c>
      <c r="AL121" s="71" t="s">
        <v>275</v>
      </c>
      <c r="AM121" s="79" t="s">
        <v>687</v>
      </c>
      <c r="AN121" s="72">
        <v>3282888</v>
      </c>
      <c r="AO121" s="182" t="s">
        <v>688</v>
      </c>
    </row>
    <row r="122" spans="1:41" ht="80.25" customHeight="1" x14ac:dyDescent="0.3">
      <c r="A122" s="71" t="s">
        <v>635</v>
      </c>
      <c r="B122" s="72" t="s">
        <v>163</v>
      </c>
      <c r="C122" s="72" t="s">
        <v>206</v>
      </c>
      <c r="D122" s="72" t="s">
        <v>224</v>
      </c>
      <c r="E122" s="73" t="str">
        <f>IFERROR(VLOOKUP(D122,DATOS!E:F,2,0),"-")</f>
        <v>PROY1</v>
      </c>
      <c r="F122" s="72" t="s">
        <v>177</v>
      </c>
      <c r="G122" s="73" t="str">
        <f>IFERROR(VLOOKUP(F122,DATOS!G:H,2,0),"-")</f>
        <v>C_3399_1603_6_20302D_3399062</v>
      </c>
      <c r="H122" s="72" t="s">
        <v>187</v>
      </c>
      <c r="I122" s="91" t="s">
        <v>658</v>
      </c>
      <c r="J122" s="72" t="s">
        <v>161</v>
      </c>
      <c r="K122" s="79">
        <v>9</v>
      </c>
      <c r="L122" s="76">
        <f t="shared" si="43"/>
        <v>6100000</v>
      </c>
      <c r="M122" s="79">
        <v>1</v>
      </c>
      <c r="N122" s="192">
        <f t="shared" si="44"/>
        <v>54900000</v>
      </c>
      <c r="O122" s="87">
        <v>0</v>
      </c>
      <c r="P122" s="87">
        <v>54900000</v>
      </c>
      <c r="Q122" s="87">
        <v>0</v>
      </c>
      <c r="R122" s="87">
        <v>0</v>
      </c>
      <c r="S122" s="150">
        <f>IF(D122="","-",VLOOKUP(D122,DATOS!$B$47:$C$48,2,0)-SUMIFS(P$2:P122,D$2:D122,D122))</f>
        <v>19218851086</v>
      </c>
      <c r="T122" s="150">
        <f>IF(D122="","-",VLOOKUP(D122,DATOS!$B$47:$D$48,3,0)-SUMIFS(Q$2:Q122,D$2:D122,D122))</f>
        <v>633818927</v>
      </c>
      <c r="U122" s="150">
        <f>IF(D122="","-",VLOOKUP(D122,DATOS!$B$47:$E$48,4,0)-SUMIFS(R$2:R122,D$2:D122,D122))</f>
        <v>327856486</v>
      </c>
      <c r="V122" s="150">
        <f>IF(H122="","-",VLOOKUP(H122,DATOS!$D$52:$E$75,2,0)-SUMIFS(N$2:N122,H$2:H122,H122))</f>
        <v>3285054135</v>
      </c>
      <c r="W122" s="72"/>
      <c r="X122" s="72"/>
      <c r="Y122" s="72" t="s">
        <v>419</v>
      </c>
      <c r="Z122" s="166" t="str">
        <f t="shared" si="47"/>
        <v>Contratar los servicios profesionales para la administración y monitoreo de la infraestructura tecnológica en las sedes del Archivo General de la Nación SGGTI02</v>
      </c>
      <c r="AA122" s="71" t="s">
        <v>292</v>
      </c>
      <c r="AB122" s="71" t="s">
        <v>292</v>
      </c>
      <c r="AC122" s="71">
        <v>9</v>
      </c>
      <c r="AD122" s="71" t="s">
        <v>271</v>
      </c>
      <c r="AE122" s="72" t="str">
        <f t="shared" si="48"/>
        <v>Contratación directa</v>
      </c>
      <c r="AF122" s="72" t="str">
        <f t="shared" ref="AF122:AF143" si="51">IF(SUM(O122:R122)=0,"-",IF(SUM(O122:P122)&gt;=SUM(Q122:R122),"Nación","Propios"))</f>
        <v>Nación</v>
      </c>
      <c r="AG122" s="167">
        <f t="shared" ref="AG122:AG143" si="52">AH122</f>
        <v>54900000</v>
      </c>
      <c r="AH122" s="167">
        <f t="shared" si="49"/>
        <v>54900000</v>
      </c>
      <c r="AI122" s="71" t="s">
        <v>272</v>
      </c>
      <c r="AJ122" s="71" t="s">
        <v>273</v>
      </c>
      <c r="AK122" s="72" t="s">
        <v>274</v>
      </c>
      <c r="AL122" s="71" t="s">
        <v>275</v>
      </c>
      <c r="AM122" s="79" t="s">
        <v>687</v>
      </c>
      <c r="AN122" s="72">
        <v>3282888</v>
      </c>
      <c r="AO122" s="182" t="s">
        <v>688</v>
      </c>
    </row>
    <row r="123" spans="1:41" ht="81" customHeight="1" x14ac:dyDescent="0.3">
      <c r="A123" s="71" t="s">
        <v>636</v>
      </c>
      <c r="B123" s="72" t="s">
        <v>163</v>
      </c>
      <c r="C123" s="72" t="s">
        <v>206</v>
      </c>
      <c r="D123" s="72" t="s">
        <v>224</v>
      </c>
      <c r="E123" s="73" t="str">
        <f>IFERROR(VLOOKUP(D123,DATOS!E:F,2,0),"-")</f>
        <v>PROY1</v>
      </c>
      <c r="F123" s="72" t="s">
        <v>177</v>
      </c>
      <c r="G123" s="73" t="str">
        <f>IFERROR(VLOOKUP(F123,DATOS!G:H,2,0),"-")</f>
        <v>C_3399_1603_6_20302D_3399062</v>
      </c>
      <c r="H123" s="72" t="s">
        <v>187</v>
      </c>
      <c r="I123" s="91" t="s">
        <v>659</v>
      </c>
      <c r="J123" s="72" t="s">
        <v>161</v>
      </c>
      <c r="K123" s="79">
        <v>7</v>
      </c>
      <c r="L123" s="76">
        <f t="shared" si="43"/>
        <v>6100000</v>
      </c>
      <c r="M123" s="79">
        <v>1</v>
      </c>
      <c r="N123" s="192">
        <f t="shared" si="44"/>
        <v>42700000</v>
      </c>
      <c r="O123" s="87">
        <v>0</v>
      </c>
      <c r="P123" s="87">
        <v>42700000</v>
      </c>
      <c r="Q123" s="87">
        <v>0</v>
      </c>
      <c r="R123" s="87">
        <v>0</v>
      </c>
      <c r="S123" s="150">
        <f>IF(D123="","-",VLOOKUP(D123,DATOS!$B$47:$C$48,2,0)-SUMIFS(P$2:P123,D$2:D123,D123))</f>
        <v>19176151086</v>
      </c>
      <c r="T123" s="150">
        <f>IF(D123="","-",VLOOKUP(D123,DATOS!$B$47:$D$48,3,0)-SUMIFS(Q$2:Q123,D$2:D123,D123))</f>
        <v>633818927</v>
      </c>
      <c r="U123" s="150">
        <f>IF(D123="","-",VLOOKUP(D123,DATOS!$B$47:$E$48,4,0)-SUMIFS(R$2:R123,D$2:D123,D123))</f>
        <v>327856486</v>
      </c>
      <c r="V123" s="150">
        <f>IF(H123="","-",VLOOKUP(H123,DATOS!$D$52:$E$75,2,0)-SUMIFS(N$2:N123,H$2:H123,H123))</f>
        <v>3242354135</v>
      </c>
      <c r="W123" s="72"/>
      <c r="X123" s="72"/>
      <c r="Y123" s="72" t="s">
        <v>419</v>
      </c>
      <c r="Z123" s="166" t="str">
        <f t="shared" si="47"/>
        <v xml:space="preserve">
Contratar los servicios profesionales para el mantenimiento, actualización y administración de los portales web del Archivo General de la Nación SGGTI03</v>
      </c>
      <c r="AA123" s="71" t="s">
        <v>278</v>
      </c>
      <c r="AB123" s="71" t="s">
        <v>278</v>
      </c>
      <c r="AC123" s="71">
        <v>7</v>
      </c>
      <c r="AD123" s="71" t="s">
        <v>271</v>
      </c>
      <c r="AE123" s="72" t="str">
        <f t="shared" si="48"/>
        <v>Contratación directa</v>
      </c>
      <c r="AF123" s="72" t="str">
        <f t="shared" si="51"/>
        <v>Nación</v>
      </c>
      <c r="AG123" s="167">
        <f t="shared" si="52"/>
        <v>42700000</v>
      </c>
      <c r="AH123" s="167">
        <f t="shared" si="49"/>
        <v>42700000</v>
      </c>
      <c r="AI123" s="71" t="s">
        <v>272</v>
      </c>
      <c r="AJ123" s="71" t="s">
        <v>273</v>
      </c>
      <c r="AK123" s="72" t="s">
        <v>274</v>
      </c>
      <c r="AL123" s="71" t="s">
        <v>275</v>
      </c>
      <c r="AM123" s="79" t="s">
        <v>687</v>
      </c>
      <c r="AN123" s="72">
        <v>3282888</v>
      </c>
      <c r="AO123" s="182" t="s">
        <v>688</v>
      </c>
    </row>
    <row r="124" spans="1:41" ht="76.5" customHeight="1" x14ac:dyDescent="0.3">
      <c r="A124" s="71" t="s">
        <v>637</v>
      </c>
      <c r="B124" s="72" t="s">
        <v>163</v>
      </c>
      <c r="C124" s="72" t="s">
        <v>206</v>
      </c>
      <c r="D124" s="72" t="s">
        <v>224</v>
      </c>
      <c r="E124" s="73" t="str">
        <f>IFERROR(VLOOKUP(D124,DATOS!E:F,2,0),"-")</f>
        <v>PROY1</v>
      </c>
      <c r="F124" s="72" t="s">
        <v>177</v>
      </c>
      <c r="G124" s="73" t="str">
        <f>IFERROR(VLOOKUP(F124,DATOS!G:H,2,0),"-")</f>
        <v>C_3399_1603_6_20302D_3399062</v>
      </c>
      <c r="H124" s="72" t="s">
        <v>187</v>
      </c>
      <c r="I124" s="91" t="s">
        <v>660</v>
      </c>
      <c r="J124" s="72" t="s">
        <v>161</v>
      </c>
      <c r="K124" s="79">
        <v>9</v>
      </c>
      <c r="L124" s="76">
        <f t="shared" si="43"/>
        <v>6100000</v>
      </c>
      <c r="M124" s="79">
        <v>1</v>
      </c>
      <c r="N124" s="192">
        <f t="shared" si="44"/>
        <v>54900000</v>
      </c>
      <c r="O124" s="87">
        <v>0</v>
      </c>
      <c r="P124" s="87">
        <v>54900000</v>
      </c>
      <c r="Q124" s="87">
        <v>0</v>
      </c>
      <c r="R124" s="87">
        <v>0</v>
      </c>
      <c r="S124" s="150">
        <f>IF(D124="","-",VLOOKUP(D124,DATOS!$B$47:$C$48,2,0)-SUMIFS(P$2:P124,D$2:D124,D124))</f>
        <v>19121251086</v>
      </c>
      <c r="T124" s="150">
        <f>IF(D124="","-",VLOOKUP(D124,DATOS!$B$47:$D$48,3,0)-SUMIFS(Q$2:Q124,D$2:D124,D124))</f>
        <v>633818927</v>
      </c>
      <c r="U124" s="150">
        <f>IF(D124="","-",VLOOKUP(D124,DATOS!$B$47:$E$48,4,0)-SUMIFS(R$2:R124,D$2:D124,D124))</f>
        <v>327856486</v>
      </c>
      <c r="V124" s="150">
        <f>IF(H124="","-",VLOOKUP(H124,DATOS!$D$52:$E$75,2,0)-SUMIFS(N$2:N124,H$2:H124,H124))</f>
        <v>3187454135</v>
      </c>
      <c r="W124" s="72"/>
      <c r="X124" s="72"/>
      <c r="Y124" s="72" t="s">
        <v>419</v>
      </c>
      <c r="Z124" s="166" t="str">
        <f t="shared" si="47"/>
        <v>Contratar los servicios profesionales para realizar la administración de los componentes activos de red del Archivo General de la Nación.SGGTI04</v>
      </c>
      <c r="AA124" s="71" t="s">
        <v>292</v>
      </c>
      <c r="AB124" s="71" t="s">
        <v>292</v>
      </c>
      <c r="AC124" s="71">
        <v>9</v>
      </c>
      <c r="AD124" s="71" t="s">
        <v>271</v>
      </c>
      <c r="AE124" s="72" t="str">
        <f t="shared" si="48"/>
        <v>Contratación directa</v>
      </c>
      <c r="AF124" s="72" t="str">
        <f t="shared" si="51"/>
        <v>Nación</v>
      </c>
      <c r="AG124" s="167">
        <f t="shared" si="52"/>
        <v>54900000</v>
      </c>
      <c r="AH124" s="167">
        <f t="shared" si="49"/>
        <v>54900000</v>
      </c>
      <c r="AI124" s="71" t="s">
        <v>272</v>
      </c>
      <c r="AJ124" s="71" t="s">
        <v>273</v>
      </c>
      <c r="AK124" s="72" t="s">
        <v>274</v>
      </c>
      <c r="AL124" s="71" t="s">
        <v>275</v>
      </c>
      <c r="AM124" s="79" t="s">
        <v>687</v>
      </c>
      <c r="AN124" s="72">
        <v>3282888</v>
      </c>
      <c r="AO124" s="182" t="s">
        <v>688</v>
      </c>
    </row>
    <row r="125" spans="1:41" ht="81" customHeight="1" x14ac:dyDescent="0.3">
      <c r="A125" s="71" t="s">
        <v>638</v>
      </c>
      <c r="B125" s="72" t="s">
        <v>163</v>
      </c>
      <c r="C125" s="72" t="s">
        <v>206</v>
      </c>
      <c r="D125" s="72" t="s">
        <v>224</v>
      </c>
      <c r="E125" s="73" t="str">
        <f>IFERROR(VLOOKUP(D125,DATOS!E:F,2,0),"-")</f>
        <v>PROY1</v>
      </c>
      <c r="F125" s="72" t="s">
        <v>177</v>
      </c>
      <c r="G125" s="73" t="str">
        <f>IFERROR(VLOOKUP(F125,DATOS!G:H,2,0),"-")</f>
        <v>C_3399_1603_6_20302D_3399062</v>
      </c>
      <c r="H125" s="72" t="s">
        <v>187</v>
      </c>
      <c r="I125" s="79" t="s">
        <v>661</v>
      </c>
      <c r="J125" s="72" t="s">
        <v>161</v>
      </c>
      <c r="K125" s="79">
        <v>9</v>
      </c>
      <c r="L125" s="76">
        <f t="shared" si="43"/>
        <v>6100000</v>
      </c>
      <c r="M125" s="79">
        <v>1</v>
      </c>
      <c r="N125" s="192">
        <f t="shared" si="44"/>
        <v>54900000</v>
      </c>
      <c r="O125" s="87">
        <v>0</v>
      </c>
      <c r="P125" s="87">
        <v>54900000</v>
      </c>
      <c r="Q125" s="87">
        <v>0</v>
      </c>
      <c r="R125" s="87">
        <v>0</v>
      </c>
      <c r="S125" s="150">
        <f>IF(D125="","-",VLOOKUP(D125,DATOS!$B$47:$C$48,2,0)-SUMIFS(P$2:P125,D$2:D125,D125))</f>
        <v>19066351086</v>
      </c>
      <c r="T125" s="150">
        <f>IF(D125="","-",VLOOKUP(D125,DATOS!$B$47:$D$48,3,0)-SUMIFS(Q$2:Q125,D$2:D125,D125))</f>
        <v>633818927</v>
      </c>
      <c r="U125" s="150">
        <f>IF(D125="","-",VLOOKUP(D125,DATOS!$B$47:$E$48,4,0)-SUMIFS(R$2:R125,D$2:D125,D125))</f>
        <v>327856486</v>
      </c>
      <c r="V125" s="150">
        <f>IF(H125="","-",VLOOKUP(H125,DATOS!$D$52:$E$75,2,0)-SUMIFS(N$2:N125,H$2:H125,H125))</f>
        <v>3132554135</v>
      </c>
      <c r="W125" s="72"/>
      <c r="X125" s="72"/>
      <c r="Y125" s="72" t="s">
        <v>419</v>
      </c>
      <c r="Z125" s="166" t="str">
        <f t="shared" si="47"/>
        <v>Contratar los servicios profesionales para llevar a cabo tareas de gobierno digital y actualización de procedimientos del Archivo General de la Nación. SGGTI05</v>
      </c>
      <c r="AA125" s="71" t="s">
        <v>292</v>
      </c>
      <c r="AB125" s="71" t="s">
        <v>292</v>
      </c>
      <c r="AC125" s="71">
        <v>9</v>
      </c>
      <c r="AD125" s="71" t="s">
        <v>271</v>
      </c>
      <c r="AE125" s="72" t="str">
        <f t="shared" si="48"/>
        <v>Contratación directa</v>
      </c>
      <c r="AF125" s="72" t="str">
        <f t="shared" si="51"/>
        <v>Nación</v>
      </c>
      <c r="AG125" s="167">
        <f t="shared" si="52"/>
        <v>54900000</v>
      </c>
      <c r="AH125" s="167">
        <f t="shared" si="49"/>
        <v>54900000</v>
      </c>
      <c r="AI125" s="71" t="s">
        <v>272</v>
      </c>
      <c r="AJ125" s="71" t="s">
        <v>273</v>
      </c>
      <c r="AK125" s="72" t="s">
        <v>274</v>
      </c>
      <c r="AL125" s="71" t="s">
        <v>275</v>
      </c>
      <c r="AM125" s="79" t="s">
        <v>687</v>
      </c>
      <c r="AN125" s="72">
        <v>3282888</v>
      </c>
      <c r="AO125" s="182" t="s">
        <v>688</v>
      </c>
    </row>
    <row r="126" spans="1:41" ht="83.25" customHeight="1" x14ac:dyDescent="0.3">
      <c r="A126" s="71" t="s">
        <v>639</v>
      </c>
      <c r="B126" s="72" t="s">
        <v>163</v>
      </c>
      <c r="C126" s="72" t="s">
        <v>206</v>
      </c>
      <c r="D126" s="72" t="s">
        <v>224</v>
      </c>
      <c r="E126" s="73" t="str">
        <f>IFERROR(VLOOKUP(D126,DATOS!E:F,2,0),"-")</f>
        <v>PROY1</v>
      </c>
      <c r="F126" s="72" t="s">
        <v>177</v>
      </c>
      <c r="G126" s="73" t="str">
        <f>IFERROR(VLOOKUP(F126,DATOS!G:H,2,0),"-")</f>
        <v>C_3399_1603_6_20302D_3399062</v>
      </c>
      <c r="H126" s="72" t="s">
        <v>187</v>
      </c>
      <c r="I126" s="79" t="s">
        <v>662</v>
      </c>
      <c r="J126" s="72" t="s">
        <v>161</v>
      </c>
      <c r="K126" s="79">
        <v>9</v>
      </c>
      <c r="L126" s="76">
        <f t="shared" si="43"/>
        <v>9100000</v>
      </c>
      <c r="M126" s="79">
        <v>1</v>
      </c>
      <c r="N126" s="192">
        <f t="shared" si="44"/>
        <v>81900000</v>
      </c>
      <c r="O126" s="87">
        <v>0</v>
      </c>
      <c r="P126" s="87">
        <v>81900000</v>
      </c>
      <c r="Q126" s="87">
        <v>0</v>
      </c>
      <c r="R126" s="87">
        <v>0</v>
      </c>
      <c r="S126" s="150">
        <f>IF(D126="","-",VLOOKUP(D126,DATOS!$B$47:$C$48,2,0)-SUMIFS(P$2:P126,D$2:D126,D126))</f>
        <v>18984451086</v>
      </c>
      <c r="T126" s="150">
        <f>IF(D126="","-",VLOOKUP(D126,DATOS!$B$47:$D$48,3,0)-SUMIFS(Q$2:Q126,D$2:D126,D126))</f>
        <v>633818927</v>
      </c>
      <c r="U126" s="150">
        <f>IF(D126="","-",VLOOKUP(D126,DATOS!$B$47:$E$48,4,0)-SUMIFS(R$2:R126,D$2:D126,D126))</f>
        <v>327856486</v>
      </c>
      <c r="V126" s="150">
        <f>IF(H126="","-",VLOOKUP(H126,DATOS!$D$52:$E$75,2,0)-SUMIFS(N$2:N126,H$2:H126,H126))</f>
        <v>3050654135</v>
      </c>
      <c r="W126" s="72"/>
      <c r="X126" s="72"/>
      <c r="Y126" s="72" t="s">
        <v>419</v>
      </c>
      <c r="Z126" s="166" t="str">
        <f t="shared" si="47"/>
        <v>Contratar los servicios profesionales de un oficial de seguridad de la información, para llevar a cabo tareas del Modelo de Seguridad y Privacidad de la Información del Archivo General de la Nación. SGGTI06</v>
      </c>
      <c r="AA126" s="71" t="s">
        <v>292</v>
      </c>
      <c r="AB126" s="71" t="s">
        <v>292</v>
      </c>
      <c r="AC126" s="71">
        <v>9</v>
      </c>
      <c r="AD126" s="71" t="s">
        <v>271</v>
      </c>
      <c r="AE126" s="72" t="str">
        <f t="shared" si="48"/>
        <v>Contratación directa</v>
      </c>
      <c r="AF126" s="72" t="str">
        <f t="shared" si="51"/>
        <v>Nación</v>
      </c>
      <c r="AG126" s="167">
        <f t="shared" si="52"/>
        <v>81900000</v>
      </c>
      <c r="AH126" s="167">
        <f t="shared" si="49"/>
        <v>81900000</v>
      </c>
      <c r="AI126" s="71" t="s">
        <v>272</v>
      </c>
      <c r="AJ126" s="71" t="s">
        <v>273</v>
      </c>
      <c r="AK126" s="72" t="s">
        <v>274</v>
      </c>
      <c r="AL126" s="71" t="s">
        <v>275</v>
      </c>
      <c r="AM126" s="79" t="s">
        <v>687</v>
      </c>
      <c r="AN126" s="72">
        <v>3282888</v>
      </c>
      <c r="AO126" s="182" t="s">
        <v>688</v>
      </c>
    </row>
    <row r="127" spans="1:41" ht="83.25" customHeight="1" x14ac:dyDescent="0.3">
      <c r="A127" s="71" t="s">
        <v>640</v>
      </c>
      <c r="B127" s="72" t="s">
        <v>163</v>
      </c>
      <c r="C127" s="72" t="s">
        <v>206</v>
      </c>
      <c r="D127" s="72" t="s">
        <v>224</v>
      </c>
      <c r="E127" s="73" t="str">
        <f>IFERROR(VLOOKUP(D127,DATOS!E:F,2,0),"-")</f>
        <v>PROY1</v>
      </c>
      <c r="F127" s="72" t="s">
        <v>177</v>
      </c>
      <c r="G127" s="73" t="str">
        <f>IFERROR(VLOOKUP(F127,DATOS!G:H,2,0),"-")</f>
        <v>C_3399_1603_6_20302D_3399062</v>
      </c>
      <c r="H127" s="72" t="s">
        <v>187</v>
      </c>
      <c r="I127" s="79" t="s">
        <v>768</v>
      </c>
      <c r="J127" s="72" t="s">
        <v>173</v>
      </c>
      <c r="K127" s="79">
        <v>6</v>
      </c>
      <c r="L127" s="76">
        <f t="shared" si="43"/>
        <v>33333333.333333332</v>
      </c>
      <c r="M127" s="79">
        <v>1</v>
      </c>
      <c r="N127" s="192">
        <f t="shared" si="44"/>
        <v>200000000</v>
      </c>
      <c r="O127" s="87">
        <v>0</v>
      </c>
      <c r="P127" s="87">
        <v>0</v>
      </c>
      <c r="Q127" s="87">
        <v>0</v>
      </c>
      <c r="R127" s="87">
        <v>200000000</v>
      </c>
      <c r="S127" s="150">
        <f>IF(D127="","-",VLOOKUP(D127,DATOS!$B$47:$C$48,2,0)-SUMIFS(P$2:P127,D$2:D127,D127))</f>
        <v>18984451086</v>
      </c>
      <c r="T127" s="150">
        <f>IF(D127="","-",VLOOKUP(D127,DATOS!$B$47:$D$48,3,0)-SUMIFS(Q$2:Q127,D$2:D127,D127))</f>
        <v>633818927</v>
      </c>
      <c r="U127" s="150">
        <f>IF(D127="","-",VLOOKUP(D127,DATOS!$B$47:$E$48,4,0)-SUMIFS(R$2:R127,D$2:D127,D127))</f>
        <v>127856486</v>
      </c>
      <c r="V127" s="150">
        <f>IF(H127="","-",VLOOKUP(H127,DATOS!$D$52:$E$75,2,0)-SUMIFS(N$2:N127,H$2:H127,H127))</f>
        <v>2850654135</v>
      </c>
      <c r="W127" s="72"/>
      <c r="X127" s="72"/>
      <c r="Y127" s="72">
        <v>81112205</v>
      </c>
      <c r="Z127" s="166" t="str">
        <f t="shared" si="47"/>
        <v>Contratar los servicios de instalación, puesta en funcionamiento, soporte y mantenimiento de un Sistema de Gestión de Documentos Electrónicos de Archivo - SGDEA. SGGTI07</v>
      </c>
      <c r="AA127" s="71" t="s">
        <v>402</v>
      </c>
      <c r="AB127" s="71" t="s">
        <v>280</v>
      </c>
      <c r="AC127" s="71">
        <v>6</v>
      </c>
      <c r="AD127" s="71" t="s">
        <v>271</v>
      </c>
      <c r="AE127" s="72" t="str">
        <f t="shared" si="48"/>
        <v>Selección abreviada subasta inversa</v>
      </c>
      <c r="AF127" s="72" t="str">
        <f t="shared" si="51"/>
        <v>Propios</v>
      </c>
      <c r="AG127" s="167">
        <f t="shared" si="52"/>
        <v>200000000</v>
      </c>
      <c r="AH127" s="167">
        <f t="shared" si="49"/>
        <v>200000000</v>
      </c>
      <c r="AI127" s="71" t="s">
        <v>272</v>
      </c>
      <c r="AJ127" s="71" t="s">
        <v>273</v>
      </c>
      <c r="AK127" s="72" t="s">
        <v>274</v>
      </c>
      <c r="AL127" s="71" t="s">
        <v>275</v>
      </c>
      <c r="AM127" s="79" t="s">
        <v>687</v>
      </c>
      <c r="AN127" s="72">
        <v>3282888</v>
      </c>
      <c r="AO127" s="182" t="s">
        <v>688</v>
      </c>
    </row>
    <row r="128" spans="1:41" ht="81.75" customHeight="1" x14ac:dyDescent="0.3">
      <c r="A128" s="71" t="s">
        <v>641</v>
      </c>
      <c r="B128" s="72" t="s">
        <v>163</v>
      </c>
      <c r="C128" s="72" t="s">
        <v>206</v>
      </c>
      <c r="D128" s="72" t="s">
        <v>224</v>
      </c>
      <c r="E128" s="73" t="str">
        <f>IFERROR(VLOOKUP(D128,DATOS!E:F,2,0),"-")</f>
        <v>PROY1</v>
      </c>
      <c r="F128" s="72" t="s">
        <v>177</v>
      </c>
      <c r="G128" s="73" t="str">
        <f>IFERROR(VLOOKUP(F128,DATOS!G:H,2,0),"-")</f>
        <v>C_3399_1603_6_20302D_3399062</v>
      </c>
      <c r="H128" s="72" t="s">
        <v>188</v>
      </c>
      <c r="I128" s="79" t="s">
        <v>663</v>
      </c>
      <c r="J128" s="72" t="s">
        <v>161</v>
      </c>
      <c r="K128" s="83">
        <v>10</v>
      </c>
      <c r="L128" s="76">
        <f t="shared" si="43"/>
        <v>7767537.5999999996</v>
      </c>
      <c r="M128" s="79">
        <v>1</v>
      </c>
      <c r="N128" s="192">
        <f t="shared" si="44"/>
        <v>77675376</v>
      </c>
      <c r="O128" s="87">
        <v>0</v>
      </c>
      <c r="P128" s="87">
        <v>77675376</v>
      </c>
      <c r="Q128" s="87">
        <v>0</v>
      </c>
      <c r="R128" s="87">
        <v>0</v>
      </c>
      <c r="S128" s="150">
        <f>IF(D128="","-",VLOOKUP(D128,DATOS!$B$47:$C$48,2,0)-SUMIFS(P$2:P128,D$2:D128,D128))</f>
        <v>18906775710</v>
      </c>
      <c r="T128" s="150">
        <f>IF(D128="","-",VLOOKUP(D128,DATOS!$B$47:$D$48,3,0)-SUMIFS(Q$2:Q128,D$2:D128,D128))</f>
        <v>633818927</v>
      </c>
      <c r="U128" s="150">
        <f>IF(D128="","-",VLOOKUP(D128,DATOS!$B$47:$E$48,4,0)-SUMIFS(R$2:R128,D$2:D128,D128))</f>
        <v>127856486</v>
      </c>
      <c r="V128" s="150">
        <f>IF(H128="","-",VLOOKUP(H128,DATOS!$D$52:$E$75,2,0)-SUMIFS(N$2:N128,H$2:H128,H128))</f>
        <v>790000000</v>
      </c>
      <c r="W128" s="72"/>
      <c r="X128" s="72"/>
      <c r="Y128" s="79">
        <v>81112205</v>
      </c>
      <c r="Z128" s="166" t="str">
        <f t="shared" si="47"/>
        <v>Contratar el servicio de soporte técnico y mantenimiento del sistema de información de nomina Kactus. SGGTI08</v>
      </c>
      <c r="AA128" s="71" t="s">
        <v>292</v>
      </c>
      <c r="AB128" s="71" t="s">
        <v>292</v>
      </c>
      <c r="AC128" s="71">
        <v>10</v>
      </c>
      <c r="AD128" s="71" t="s">
        <v>271</v>
      </c>
      <c r="AE128" s="72" t="str">
        <f t="shared" si="48"/>
        <v>Contratación directa</v>
      </c>
      <c r="AF128" s="72" t="str">
        <f t="shared" si="51"/>
        <v>Nación</v>
      </c>
      <c r="AG128" s="167">
        <f t="shared" si="52"/>
        <v>77675376</v>
      </c>
      <c r="AH128" s="167">
        <f t="shared" si="49"/>
        <v>77675376</v>
      </c>
      <c r="AI128" s="71" t="s">
        <v>272</v>
      </c>
      <c r="AJ128" s="71" t="s">
        <v>273</v>
      </c>
      <c r="AK128" s="72" t="s">
        <v>274</v>
      </c>
      <c r="AL128" s="71" t="s">
        <v>275</v>
      </c>
      <c r="AM128" s="79" t="s">
        <v>687</v>
      </c>
      <c r="AN128" s="72">
        <v>3282888</v>
      </c>
      <c r="AO128" s="182" t="s">
        <v>688</v>
      </c>
    </row>
    <row r="129" spans="1:41" ht="75" customHeight="1" x14ac:dyDescent="0.3">
      <c r="A129" s="71" t="s">
        <v>642</v>
      </c>
      <c r="B129" s="72" t="s">
        <v>163</v>
      </c>
      <c r="C129" s="72" t="s">
        <v>206</v>
      </c>
      <c r="D129" s="72" t="s">
        <v>224</v>
      </c>
      <c r="E129" s="73" t="str">
        <f>IFERROR(VLOOKUP(D129,DATOS!E:F,2,0),"-")</f>
        <v>PROY1</v>
      </c>
      <c r="F129" s="72" t="s">
        <v>177</v>
      </c>
      <c r="G129" s="73" t="str">
        <f>IFERROR(VLOOKUP(F129,DATOS!G:H,2,0),"-")</f>
        <v>C_3399_1603_6_20302D_3399062</v>
      </c>
      <c r="H129" s="72" t="s">
        <v>187</v>
      </c>
      <c r="I129" s="79" t="s">
        <v>664</v>
      </c>
      <c r="J129" s="72" t="s">
        <v>167</v>
      </c>
      <c r="K129" s="83">
        <v>1</v>
      </c>
      <c r="L129" s="76">
        <f t="shared" si="43"/>
        <v>9000000</v>
      </c>
      <c r="M129" s="79">
        <v>1</v>
      </c>
      <c r="N129" s="192">
        <f t="shared" si="44"/>
        <v>9000000</v>
      </c>
      <c r="O129" s="87">
        <v>0</v>
      </c>
      <c r="P129" s="87">
        <v>9000000</v>
      </c>
      <c r="Q129" s="87">
        <v>0</v>
      </c>
      <c r="R129" s="87">
        <v>0</v>
      </c>
      <c r="S129" s="150">
        <f>IF(D129="","-",VLOOKUP(D129,DATOS!$B$47:$C$48,2,0)-SUMIFS(P$2:P129,D$2:D129,D129))</f>
        <v>18897775710</v>
      </c>
      <c r="T129" s="150">
        <f>IF(D129="","-",VLOOKUP(D129,DATOS!$B$47:$D$48,3,0)-SUMIFS(Q$2:Q129,D$2:D129,D129))</f>
        <v>633818927</v>
      </c>
      <c r="U129" s="150">
        <f>IF(D129="","-",VLOOKUP(D129,DATOS!$B$47:$E$48,4,0)-SUMIFS(R$2:R129,D$2:D129,D129))</f>
        <v>127856486</v>
      </c>
      <c r="V129" s="150">
        <f>IF(H129="","-",VLOOKUP(H129,DATOS!$D$52:$E$75,2,0)-SUMIFS(N$2:N129,H$2:H129,H129))</f>
        <v>2841654135</v>
      </c>
      <c r="W129" s="72"/>
      <c r="X129" s="72"/>
      <c r="Y129" s="78" t="s">
        <v>679</v>
      </c>
      <c r="Z129" s="166" t="str">
        <f t="shared" si="47"/>
        <v>Renovacion del Pool de Direccionamiento IPV6 Lacnic. SGGTI09</v>
      </c>
      <c r="AA129" s="71" t="s">
        <v>292</v>
      </c>
      <c r="AB129" s="71" t="s">
        <v>292</v>
      </c>
      <c r="AC129" s="71">
        <v>1</v>
      </c>
      <c r="AD129" s="71" t="s">
        <v>271</v>
      </c>
      <c r="AE129" s="72" t="str">
        <f t="shared" si="48"/>
        <v>Mínima cuantía</v>
      </c>
      <c r="AF129" s="72" t="str">
        <f t="shared" si="51"/>
        <v>Nación</v>
      </c>
      <c r="AG129" s="167">
        <f t="shared" si="52"/>
        <v>9000000</v>
      </c>
      <c r="AH129" s="167">
        <f t="shared" si="49"/>
        <v>9000000</v>
      </c>
      <c r="AI129" s="71" t="s">
        <v>272</v>
      </c>
      <c r="AJ129" s="71" t="s">
        <v>273</v>
      </c>
      <c r="AK129" s="72" t="s">
        <v>274</v>
      </c>
      <c r="AL129" s="71" t="s">
        <v>275</v>
      </c>
      <c r="AM129" s="79" t="s">
        <v>687</v>
      </c>
      <c r="AN129" s="72">
        <v>3282888</v>
      </c>
      <c r="AO129" s="182" t="s">
        <v>688</v>
      </c>
    </row>
    <row r="130" spans="1:41" ht="76.5" customHeight="1" x14ac:dyDescent="0.3">
      <c r="A130" s="71" t="s">
        <v>643</v>
      </c>
      <c r="B130" s="72" t="s">
        <v>163</v>
      </c>
      <c r="C130" s="72" t="s">
        <v>206</v>
      </c>
      <c r="D130" s="72" t="s">
        <v>224</v>
      </c>
      <c r="E130" s="73" t="str">
        <f>IFERROR(VLOOKUP(D130,DATOS!E:F,2,0),"-")</f>
        <v>PROY1</v>
      </c>
      <c r="F130" s="72" t="s">
        <v>177</v>
      </c>
      <c r="G130" s="73" t="str">
        <f>IFERROR(VLOOKUP(F130,DATOS!G:H,2,0),"-")</f>
        <v>C_3399_1603_6_20302D_3399062</v>
      </c>
      <c r="H130" s="72" t="s">
        <v>187</v>
      </c>
      <c r="I130" s="79" t="s">
        <v>665</v>
      </c>
      <c r="J130" s="72" t="s">
        <v>169</v>
      </c>
      <c r="K130" s="79">
        <v>12</v>
      </c>
      <c r="L130" s="76">
        <f t="shared" si="43"/>
        <v>7000000</v>
      </c>
      <c r="M130" s="79">
        <v>1</v>
      </c>
      <c r="N130" s="192">
        <f t="shared" si="44"/>
        <v>84000000</v>
      </c>
      <c r="O130" s="87">
        <v>0</v>
      </c>
      <c r="P130" s="87">
        <v>84000000</v>
      </c>
      <c r="Q130" s="87">
        <v>0</v>
      </c>
      <c r="R130" s="87">
        <v>0</v>
      </c>
      <c r="S130" s="150">
        <f>IF(D130="","-",VLOOKUP(D130,DATOS!$B$47:$C$48,2,0)-SUMIFS(P$2:P130,D$2:D130,D130))</f>
        <v>18813775710</v>
      </c>
      <c r="T130" s="150">
        <f>IF(D130="","-",VLOOKUP(D130,DATOS!$B$47:$D$48,3,0)-SUMIFS(Q$2:Q130,D$2:D130,D130))</f>
        <v>633818927</v>
      </c>
      <c r="U130" s="150">
        <f>IF(D130="","-",VLOOKUP(D130,DATOS!$B$47:$E$48,4,0)-SUMIFS(R$2:R130,D$2:D130,D130))</f>
        <v>127856486</v>
      </c>
      <c r="V130" s="150">
        <f>IF(H130="","-",VLOOKUP(H130,DATOS!$D$52:$E$75,2,0)-SUMIFS(N$2:N130,H$2:H130,H130))</f>
        <v>2757654135</v>
      </c>
      <c r="W130" s="72"/>
      <c r="X130" s="72"/>
      <c r="Y130" s="72" t="s">
        <v>689</v>
      </c>
      <c r="Z130" s="166" t="str">
        <f t="shared" si="47"/>
        <v>Contratar los servicios de canales de datos con alta disponibilidad para las sedes Centro y Funza del Archivo General de la Nación la entidad.SGGTI10</v>
      </c>
      <c r="AA130" s="71" t="s">
        <v>292</v>
      </c>
      <c r="AB130" s="71" t="s">
        <v>278</v>
      </c>
      <c r="AC130" s="71">
        <v>12</v>
      </c>
      <c r="AD130" s="71" t="s">
        <v>271</v>
      </c>
      <c r="AE130" s="82" t="str">
        <f t="shared" si="48"/>
        <v>Selección abreviada -Acuerdo Marco</v>
      </c>
      <c r="AF130" s="72" t="str">
        <f t="shared" si="51"/>
        <v>Nación</v>
      </c>
      <c r="AG130" s="167">
        <f t="shared" si="52"/>
        <v>84000000</v>
      </c>
      <c r="AH130" s="167">
        <f t="shared" si="49"/>
        <v>84000000</v>
      </c>
      <c r="AI130" s="71" t="s">
        <v>272</v>
      </c>
      <c r="AJ130" s="71" t="s">
        <v>273</v>
      </c>
      <c r="AK130" s="72" t="s">
        <v>274</v>
      </c>
      <c r="AL130" s="71" t="s">
        <v>275</v>
      </c>
      <c r="AM130" s="79" t="s">
        <v>687</v>
      </c>
      <c r="AN130" s="72">
        <v>3282888</v>
      </c>
      <c r="AO130" s="182" t="s">
        <v>688</v>
      </c>
    </row>
    <row r="131" spans="1:41" ht="84.75" customHeight="1" x14ac:dyDescent="0.3">
      <c r="A131" s="71" t="s">
        <v>644</v>
      </c>
      <c r="B131" s="72" t="s">
        <v>163</v>
      </c>
      <c r="C131" s="72" t="s">
        <v>206</v>
      </c>
      <c r="D131" s="72" t="s">
        <v>224</v>
      </c>
      <c r="E131" s="73" t="str">
        <f>IFERROR(VLOOKUP(D131,DATOS!E:F,2,0),"-")</f>
        <v>PROY1</v>
      </c>
      <c r="F131" s="72" t="s">
        <v>177</v>
      </c>
      <c r="G131" s="73" t="str">
        <f>IFERROR(VLOOKUP(F131,DATOS!G:H,2,0),"-")</f>
        <v>C_3399_1603_6_20302D_3399062</v>
      </c>
      <c r="H131" s="72" t="s">
        <v>187</v>
      </c>
      <c r="I131" s="79" t="s">
        <v>666</v>
      </c>
      <c r="J131" s="72" t="s">
        <v>169</v>
      </c>
      <c r="K131" s="79">
        <v>1</v>
      </c>
      <c r="L131" s="76">
        <f t="shared" si="43"/>
        <v>486000000</v>
      </c>
      <c r="M131" s="79">
        <v>1</v>
      </c>
      <c r="N131" s="192">
        <f t="shared" si="44"/>
        <v>486000000</v>
      </c>
      <c r="O131" s="87">
        <v>0</v>
      </c>
      <c r="P131" s="87">
        <v>486000000</v>
      </c>
      <c r="Q131" s="87">
        <v>0</v>
      </c>
      <c r="R131" s="87">
        <v>0</v>
      </c>
      <c r="S131" s="150">
        <f>IF(D131="","-",VLOOKUP(D131,DATOS!$B$47:$C$48,2,0)-SUMIFS(P$2:P131,D$2:D131,D131))</f>
        <v>18327775710</v>
      </c>
      <c r="T131" s="150">
        <f>IF(D131="","-",VLOOKUP(D131,DATOS!$B$47:$D$48,3,0)-SUMIFS(Q$2:Q131,D$2:D131,D131))</f>
        <v>633818927</v>
      </c>
      <c r="U131" s="150">
        <f>IF(D131="","-",VLOOKUP(D131,DATOS!$B$47:$E$48,4,0)-SUMIFS(R$2:R131,D$2:D131,D131))</f>
        <v>127856486</v>
      </c>
      <c r="V131" s="150">
        <f>IF(H131="","-",VLOOKUP(H131,DATOS!$D$52:$E$75,2,0)-SUMIFS(N$2:N131,H$2:H131,H131))</f>
        <v>2271654135</v>
      </c>
      <c r="W131" s="72"/>
      <c r="X131" s="72"/>
      <c r="Y131" s="72">
        <v>43231512</v>
      </c>
      <c r="Z131" s="166" t="str">
        <f t="shared" si="47"/>
        <v>Renovacion de Licenciamiento Microsoft. SGGTI11</v>
      </c>
      <c r="AA131" s="71" t="s">
        <v>277</v>
      </c>
      <c r="AB131" s="71" t="s">
        <v>279</v>
      </c>
      <c r="AC131" s="71">
        <v>1</v>
      </c>
      <c r="AD131" s="71" t="s">
        <v>271</v>
      </c>
      <c r="AE131" s="72" t="str">
        <f t="shared" si="48"/>
        <v>Selección abreviada -Acuerdo Marco</v>
      </c>
      <c r="AF131" s="72" t="str">
        <f t="shared" si="51"/>
        <v>Nación</v>
      </c>
      <c r="AG131" s="167">
        <f t="shared" si="52"/>
        <v>486000000</v>
      </c>
      <c r="AH131" s="167">
        <f t="shared" si="49"/>
        <v>486000000</v>
      </c>
      <c r="AI131" s="71" t="s">
        <v>272</v>
      </c>
      <c r="AJ131" s="71" t="s">
        <v>273</v>
      </c>
      <c r="AK131" s="72" t="s">
        <v>274</v>
      </c>
      <c r="AL131" s="71" t="s">
        <v>275</v>
      </c>
      <c r="AM131" s="79" t="s">
        <v>687</v>
      </c>
      <c r="AN131" s="72">
        <v>3282888</v>
      </c>
      <c r="AO131" s="182" t="s">
        <v>688</v>
      </c>
    </row>
    <row r="132" spans="1:41" ht="76.5" customHeight="1" x14ac:dyDescent="0.3">
      <c r="A132" s="71" t="s">
        <v>645</v>
      </c>
      <c r="B132" s="72" t="s">
        <v>163</v>
      </c>
      <c r="C132" s="72" t="s">
        <v>206</v>
      </c>
      <c r="D132" s="72" t="s">
        <v>224</v>
      </c>
      <c r="E132" s="73" t="str">
        <f>IFERROR(VLOOKUP(D132,DATOS!E:F,2,0),"-")</f>
        <v>PROY1</v>
      </c>
      <c r="F132" s="72" t="s">
        <v>177</v>
      </c>
      <c r="G132" s="73" t="str">
        <f>IFERROR(VLOOKUP(F132,DATOS!G:H,2,0),"-")</f>
        <v>C_3399_1603_6_20302D_3399062</v>
      </c>
      <c r="H132" s="72" t="s">
        <v>187</v>
      </c>
      <c r="I132" s="79" t="s">
        <v>667</v>
      </c>
      <c r="J132" s="72" t="s">
        <v>169</v>
      </c>
      <c r="K132" s="79">
        <v>5</v>
      </c>
      <c r="L132" s="76">
        <f t="shared" si="43"/>
        <v>10000000</v>
      </c>
      <c r="M132" s="79">
        <v>1</v>
      </c>
      <c r="N132" s="192">
        <f t="shared" si="44"/>
        <v>50000000</v>
      </c>
      <c r="O132" s="87">
        <v>0</v>
      </c>
      <c r="P132" s="87">
        <v>50000000</v>
      </c>
      <c r="Q132" s="87">
        <v>0</v>
      </c>
      <c r="R132" s="87">
        <v>0</v>
      </c>
      <c r="S132" s="150">
        <f>IF(D132="","-",VLOOKUP(D132,DATOS!$B$47:$C$48,2,0)-SUMIFS(P$2:P132,D$2:D132,D132))</f>
        <v>18277775710</v>
      </c>
      <c r="T132" s="150">
        <f>IF(D132="","-",VLOOKUP(D132,DATOS!$B$47:$D$48,3,0)-SUMIFS(Q$2:Q132,D$2:D132,D132))</f>
        <v>633818927</v>
      </c>
      <c r="U132" s="150">
        <f>IF(D132="","-",VLOOKUP(D132,DATOS!$B$47:$E$48,4,0)-SUMIFS(R$2:R132,D$2:D132,D132))</f>
        <v>127856486</v>
      </c>
      <c r="V132" s="150">
        <f>IF(H132="","-",VLOOKUP(H132,DATOS!$D$52:$E$75,2,0)-SUMIFS(N$2:N132,H$2:H132,H132))</f>
        <v>2221654135</v>
      </c>
      <c r="W132" s="72"/>
      <c r="X132" s="72"/>
      <c r="Y132" s="72">
        <v>73151900</v>
      </c>
      <c r="Z132" s="166" t="str">
        <f t="shared" si="47"/>
        <v>Contratar los servicios de mantenimiento con repuestos incluidos para los diferentes tipos de impresoras del Archivo General de la Nación. SGGTI12</v>
      </c>
      <c r="AA132" s="71" t="s">
        <v>280</v>
      </c>
      <c r="AB132" s="71" t="s">
        <v>298</v>
      </c>
      <c r="AC132" s="71">
        <v>5</v>
      </c>
      <c r="AD132" s="71" t="s">
        <v>271</v>
      </c>
      <c r="AE132" s="72" t="str">
        <f t="shared" si="48"/>
        <v>Selección abreviada -Acuerdo Marco</v>
      </c>
      <c r="AF132" s="72" t="str">
        <f t="shared" si="51"/>
        <v>Nación</v>
      </c>
      <c r="AG132" s="167">
        <f t="shared" si="52"/>
        <v>50000000</v>
      </c>
      <c r="AH132" s="167">
        <f t="shared" si="49"/>
        <v>50000000</v>
      </c>
      <c r="AI132" s="71" t="s">
        <v>272</v>
      </c>
      <c r="AJ132" s="71" t="s">
        <v>273</v>
      </c>
      <c r="AK132" s="72" t="s">
        <v>274</v>
      </c>
      <c r="AL132" s="71" t="s">
        <v>275</v>
      </c>
      <c r="AM132" s="79" t="s">
        <v>687</v>
      </c>
      <c r="AN132" s="72">
        <v>3282888</v>
      </c>
      <c r="AO132" s="182" t="s">
        <v>688</v>
      </c>
    </row>
    <row r="133" spans="1:41" ht="78" customHeight="1" x14ac:dyDescent="0.3">
      <c r="A133" s="71" t="s">
        <v>646</v>
      </c>
      <c r="B133" s="72" t="s">
        <v>163</v>
      </c>
      <c r="C133" s="72" t="s">
        <v>206</v>
      </c>
      <c r="D133" s="72" t="s">
        <v>224</v>
      </c>
      <c r="E133" s="73" t="str">
        <f>IFERROR(VLOOKUP(D133,DATOS!E:F,2,0),"-")</f>
        <v>PROY1</v>
      </c>
      <c r="F133" s="72" t="s">
        <v>177</v>
      </c>
      <c r="G133" s="73" t="str">
        <f>IFERROR(VLOOKUP(F133,DATOS!G:H,2,0),"-")</f>
        <v>C_3399_1603_6_20302D_3399062</v>
      </c>
      <c r="H133" s="72" t="s">
        <v>187</v>
      </c>
      <c r="I133" s="79" t="s">
        <v>668</v>
      </c>
      <c r="J133" s="72" t="s">
        <v>167</v>
      </c>
      <c r="K133" s="79">
        <v>1</v>
      </c>
      <c r="L133" s="76">
        <f t="shared" si="43"/>
        <v>5000000</v>
      </c>
      <c r="M133" s="79">
        <v>1</v>
      </c>
      <c r="N133" s="192">
        <f t="shared" si="44"/>
        <v>5000000</v>
      </c>
      <c r="O133" s="87">
        <v>0</v>
      </c>
      <c r="P133" s="87">
        <v>5000000</v>
      </c>
      <c r="Q133" s="87">
        <v>0</v>
      </c>
      <c r="R133" s="87">
        <v>0</v>
      </c>
      <c r="S133" s="150">
        <f>IF(D133="","-",VLOOKUP(D133,DATOS!$B$47:$C$48,2,0)-SUMIFS(P$2:P133,D$2:D133,D133))</f>
        <v>18272775710</v>
      </c>
      <c r="T133" s="150">
        <f>IF(D133="","-",VLOOKUP(D133,DATOS!$B$47:$D$48,3,0)-SUMIFS(Q$2:Q133,D$2:D133,D133))</f>
        <v>633818927</v>
      </c>
      <c r="U133" s="150">
        <f>IF(D133="","-",VLOOKUP(D133,DATOS!$B$47:$E$48,4,0)-SUMIFS(R$2:R133,D$2:D133,D133))</f>
        <v>127856486</v>
      </c>
      <c r="V133" s="150">
        <f>IF(H133="","-",VLOOKUP(H133,DATOS!$D$52:$E$75,2,0)-SUMIFS(N$2:N133,H$2:H133,H133))</f>
        <v>2216654135</v>
      </c>
      <c r="W133" s="72"/>
      <c r="X133" s="72"/>
      <c r="Y133" s="72" t="s">
        <v>680</v>
      </c>
      <c r="Z133" s="166" t="str">
        <f t="shared" si="47"/>
        <v>Adquirir certificados digitales SGGTI13</v>
      </c>
      <c r="AA133" s="71" t="s">
        <v>278</v>
      </c>
      <c r="AB133" s="71" t="s">
        <v>277</v>
      </c>
      <c r="AC133" s="71">
        <v>1</v>
      </c>
      <c r="AD133" s="71" t="s">
        <v>271</v>
      </c>
      <c r="AE133" s="72" t="str">
        <f t="shared" si="48"/>
        <v>Mínima cuantía</v>
      </c>
      <c r="AF133" s="72" t="str">
        <f t="shared" si="51"/>
        <v>Nación</v>
      </c>
      <c r="AG133" s="167">
        <f t="shared" si="52"/>
        <v>5000000</v>
      </c>
      <c r="AH133" s="167">
        <f t="shared" si="49"/>
        <v>5000000</v>
      </c>
      <c r="AI133" s="71" t="s">
        <v>272</v>
      </c>
      <c r="AJ133" s="71" t="s">
        <v>273</v>
      </c>
      <c r="AK133" s="72" t="s">
        <v>274</v>
      </c>
      <c r="AL133" s="71" t="s">
        <v>275</v>
      </c>
      <c r="AM133" s="79" t="s">
        <v>687</v>
      </c>
      <c r="AN133" s="72">
        <v>3282888</v>
      </c>
      <c r="AO133" s="182" t="s">
        <v>688</v>
      </c>
    </row>
    <row r="134" spans="1:41" ht="78.75" customHeight="1" x14ac:dyDescent="0.3">
      <c r="A134" s="72" t="s">
        <v>647</v>
      </c>
      <c r="B134" s="72" t="s">
        <v>163</v>
      </c>
      <c r="C134" s="72" t="s">
        <v>206</v>
      </c>
      <c r="D134" s="72" t="s">
        <v>224</v>
      </c>
      <c r="E134" s="73" t="str">
        <f>IFERROR(VLOOKUP(D134,DATOS!E:F,2,0),"-")</f>
        <v>PROY1</v>
      </c>
      <c r="F134" s="72" t="s">
        <v>177</v>
      </c>
      <c r="G134" s="73" t="str">
        <f>IFERROR(VLOOKUP(F134,DATOS!G:H,2,0),"-")</f>
        <v>C_3399_1603_6_20302D_3399062</v>
      </c>
      <c r="H134" s="72" t="s">
        <v>187</v>
      </c>
      <c r="I134" s="79" t="s">
        <v>669</v>
      </c>
      <c r="J134" s="72" t="s">
        <v>169</v>
      </c>
      <c r="K134" s="79">
        <v>1</v>
      </c>
      <c r="L134" s="76">
        <f t="shared" si="43"/>
        <v>250000000</v>
      </c>
      <c r="M134" s="79">
        <v>1</v>
      </c>
      <c r="N134" s="192">
        <f t="shared" si="44"/>
        <v>250000000</v>
      </c>
      <c r="O134" s="87">
        <v>0</v>
      </c>
      <c r="P134" s="87">
        <v>250000000</v>
      </c>
      <c r="Q134" s="87">
        <v>0</v>
      </c>
      <c r="R134" s="87">
        <v>0</v>
      </c>
      <c r="S134" s="150">
        <f>IF(D134="","-",VLOOKUP(D134,DATOS!$B$47:$C$48,2,0)-SUMIFS(P$2:P134,D$2:D134,D134))</f>
        <v>18022775710</v>
      </c>
      <c r="T134" s="150">
        <f>IF(D134="","-",VLOOKUP(D134,DATOS!$B$47:$D$48,3,0)-SUMIFS(Q$2:Q134,D$2:D134,D134))</f>
        <v>633818927</v>
      </c>
      <c r="U134" s="150">
        <f>IF(D134="","-",VLOOKUP(D134,DATOS!$B$47:$E$48,4,0)-SUMIFS(R$2:R134,D$2:D134,D134))</f>
        <v>127856486</v>
      </c>
      <c r="V134" s="150">
        <f>IF(H134="","-",VLOOKUP(H134,DATOS!$D$52:$E$75,2,0)-SUMIFS(N$2:N134,H$2:H134,H134))</f>
        <v>1966654135</v>
      </c>
      <c r="W134" s="72"/>
      <c r="X134" s="72"/>
      <c r="Y134" s="72" t="s">
        <v>681</v>
      </c>
      <c r="Z134" s="166" t="str">
        <f t="shared" si="47"/>
        <v>Adquirir licenciamiento de Antivirus para el Archivo General de la Nación. SGGTI14</v>
      </c>
      <c r="AA134" s="71" t="s">
        <v>297</v>
      </c>
      <c r="AB134" s="71" t="s">
        <v>686</v>
      </c>
      <c r="AC134" s="71">
        <v>1</v>
      </c>
      <c r="AD134" s="71" t="s">
        <v>271</v>
      </c>
      <c r="AE134" s="72" t="str">
        <f t="shared" si="48"/>
        <v>Selección abreviada -Acuerdo Marco</v>
      </c>
      <c r="AF134" s="72" t="str">
        <f t="shared" si="51"/>
        <v>Nación</v>
      </c>
      <c r="AG134" s="167">
        <f t="shared" si="52"/>
        <v>250000000</v>
      </c>
      <c r="AH134" s="167">
        <f t="shared" si="49"/>
        <v>250000000</v>
      </c>
      <c r="AI134" s="71" t="s">
        <v>272</v>
      </c>
      <c r="AJ134" s="71" t="s">
        <v>273</v>
      </c>
      <c r="AK134" s="72" t="s">
        <v>274</v>
      </c>
      <c r="AL134" s="71" t="s">
        <v>275</v>
      </c>
      <c r="AM134" s="79" t="s">
        <v>687</v>
      </c>
      <c r="AN134" s="72">
        <v>3282888</v>
      </c>
      <c r="AO134" s="182" t="s">
        <v>688</v>
      </c>
    </row>
    <row r="135" spans="1:41" ht="78" customHeight="1" x14ac:dyDescent="0.3">
      <c r="A135" s="168" t="s">
        <v>648</v>
      </c>
      <c r="B135" s="72" t="s">
        <v>163</v>
      </c>
      <c r="C135" s="72" t="s">
        <v>206</v>
      </c>
      <c r="D135" s="72" t="s">
        <v>224</v>
      </c>
      <c r="E135" s="73" t="str">
        <f>IFERROR(VLOOKUP(D135,DATOS!E:F,2,0),"-")</f>
        <v>PROY1</v>
      </c>
      <c r="F135" s="72" t="s">
        <v>177</v>
      </c>
      <c r="G135" s="73" t="str">
        <f>IFERROR(VLOOKUP(F135,DATOS!G:H,2,0),"-")</f>
        <v>C_3399_1603_6_20302D_3399062</v>
      </c>
      <c r="H135" s="72" t="s">
        <v>188</v>
      </c>
      <c r="I135" s="79" t="s">
        <v>670</v>
      </c>
      <c r="J135" s="72" t="s">
        <v>161</v>
      </c>
      <c r="K135" s="79">
        <v>7</v>
      </c>
      <c r="L135" s="76">
        <f t="shared" si="43"/>
        <v>10000000</v>
      </c>
      <c r="M135" s="79">
        <v>1</v>
      </c>
      <c r="N135" s="192">
        <f t="shared" si="44"/>
        <v>70000000</v>
      </c>
      <c r="O135" s="87">
        <v>0</v>
      </c>
      <c r="P135" s="87">
        <v>70000000</v>
      </c>
      <c r="Q135" s="87">
        <v>0</v>
      </c>
      <c r="R135" s="87">
        <v>0</v>
      </c>
      <c r="S135" s="150">
        <f>IF(D135="","-",VLOOKUP(D135,DATOS!$B$47:$C$48,2,0)-SUMIFS(P$2:P135,D$2:D135,D135))</f>
        <v>17952775710</v>
      </c>
      <c r="T135" s="150">
        <f>IF(D135="","-",VLOOKUP(D135,DATOS!$B$47:$D$48,3,0)-SUMIFS(Q$2:Q135,D$2:D135,D135))</f>
        <v>633818927</v>
      </c>
      <c r="U135" s="150">
        <f>IF(D135="","-",VLOOKUP(D135,DATOS!$B$47:$E$48,4,0)-SUMIFS(R$2:R135,D$2:D135,D135))</f>
        <v>127856486</v>
      </c>
      <c r="V135" s="150">
        <f>IF(H135="","-",VLOOKUP(H135,DATOS!$D$52:$E$75,2,0)-SUMIFS(N$2:N135,H$2:H135,H135))</f>
        <v>720000000</v>
      </c>
      <c r="W135" s="72"/>
      <c r="X135" s="72"/>
      <c r="Y135" s="72" t="s">
        <v>682</v>
      </c>
      <c r="Z135" s="166" t="str">
        <f t="shared" si="47"/>
        <v>Contratar los servicios de soporte técnico, mantenimiento y actualización de todos los subsistemas y componentes del sistema de preservación digital (ADN).SGGTI15</v>
      </c>
      <c r="AA135" s="71" t="s">
        <v>279</v>
      </c>
      <c r="AB135" s="71" t="s">
        <v>279</v>
      </c>
      <c r="AC135" s="71">
        <v>7</v>
      </c>
      <c r="AD135" s="71" t="s">
        <v>271</v>
      </c>
      <c r="AE135" s="72" t="str">
        <f t="shared" si="48"/>
        <v>Contratación directa</v>
      </c>
      <c r="AF135" s="72" t="str">
        <f t="shared" si="51"/>
        <v>Nación</v>
      </c>
      <c r="AG135" s="167">
        <f t="shared" si="52"/>
        <v>70000000</v>
      </c>
      <c r="AH135" s="167">
        <f t="shared" si="49"/>
        <v>70000000</v>
      </c>
      <c r="AI135" s="71" t="s">
        <v>272</v>
      </c>
      <c r="AJ135" s="71" t="s">
        <v>273</v>
      </c>
      <c r="AK135" s="72" t="s">
        <v>274</v>
      </c>
      <c r="AL135" s="71" t="s">
        <v>275</v>
      </c>
      <c r="AM135" s="79" t="s">
        <v>687</v>
      </c>
      <c r="AN135" s="72">
        <v>3282888</v>
      </c>
      <c r="AO135" s="182" t="s">
        <v>688</v>
      </c>
    </row>
    <row r="136" spans="1:41" ht="78.75" customHeight="1" x14ac:dyDescent="0.3">
      <c r="A136" s="71" t="s">
        <v>649</v>
      </c>
      <c r="B136" s="72" t="s">
        <v>163</v>
      </c>
      <c r="C136" s="72" t="s">
        <v>206</v>
      </c>
      <c r="D136" s="72" t="s">
        <v>224</v>
      </c>
      <c r="E136" s="73" t="str">
        <f>IFERROR(VLOOKUP(D136,DATOS!E:F,2,0),"-")</f>
        <v>PROY1</v>
      </c>
      <c r="F136" s="72" t="s">
        <v>177</v>
      </c>
      <c r="G136" s="73" t="str">
        <f>IFERROR(VLOOKUP(F136,DATOS!G:H,2,0),"-")</f>
        <v>C_3399_1603_6_20302D_3399062</v>
      </c>
      <c r="H136" s="72" t="s">
        <v>186</v>
      </c>
      <c r="I136" s="79" t="s">
        <v>671</v>
      </c>
      <c r="J136" s="72" t="s">
        <v>167</v>
      </c>
      <c r="K136" s="79">
        <v>1</v>
      </c>
      <c r="L136" s="76">
        <f t="shared" si="43"/>
        <v>40000000</v>
      </c>
      <c r="M136" s="79">
        <v>1</v>
      </c>
      <c r="N136" s="192">
        <f t="shared" si="44"/>
        <v>40000000</v>
      </c>
      <c r="O136" s="87">
        <v>0</v>
      </c>
      <c r="P136" s="87">
        <v>40000000</v>
      </c>
      <c r="Q136" s="87">
        <v>0</v>
      </c>
      <c r="R136" s="87">
        <v>0</v>
      </c>
      <c r="S136" s="150">
        <f>IF(D136="","-",VLOOKUP(D136,DATOS!$B$47:$C$48,2,0)-SUMIFS(P$2:P136,D$2:D136,D136))</f>
        <v>17912775710</v>
      </c>
      <c r="T136" s="150">
        <f>IF(D136="","-",VLOOKUP(D136,DATOS!$B$47:$D$48,3,0)-SUMIFS(Q$2:Q136,D$2:D136,D136))</f>
        <v>633818927</v>
      </c>
      <c r="U136" s="150">
        <f>IF(D136="","-",VLOOKUP(D136,DATOS!$B$47:$E$48,4,0)-SUMIFS(R$2:R136,D$2:D136,D136))</f>
        <v>127856486</v>
      </c>
      <c r="V136" s="150">
        <f>IF(H136="","-",VLOOKUP(H136,DATOS!$D$52:$E$75,2,0)-SUMIFS(N$2:N136,H$2:H136,H136))</f>
        <v>3155000000</v>
      </c>
      <c r="W136" s="72"/>
      <c r="X136" s="72"/>
      <c r="Y136" s="72" t="s">
        <v>682</v>
      </c>
      <c r="Z136" s="166" t="str">
        <f t="shared" si="47"/>
        <v>Contratar los servicios de soporte técnico para la telefonia (Teams). SGGTI16</v>
      </c>
      <c r="AA136" s="71" t="s">
        <v>280</v>
      </c>
      <c r="AB136" s="71" t="s">
        <v>298</v>
      </c>
      <c r="AC136" s="71">
        <v>1</v>
      </c>
      <c r="AD136" s="71" t="s">
        <v>271</v>
      </c>
      <c r="AE136" s="72" t="str">
        <f t="shared" si="48"/>
        <v>Mínima cuantía</v>
      </c>
      <c r="AF136" s="72" t="str">
        <f t="shared" si="51"/>
        <v>Nación</v>
      </c>
      <c r="AG136" s="167">
        <f t="shared" si="52"/>
        <v>40000000</v>
      </c>
      <c r="AH136" s="167">
        <f t="shared" si="49"/>
        <v>40000000</v>
      </c>
      <c r="AI136" s="71" t="s">
        <v>272</v>
      </c>
      <c r="AJ136" s="71" t="s">
        <v>273</v>
      </c>
      <c r="AK136" s="72" t="s">
        <v>274</v>
      </c>
      <c r="AL136" s="71" t="s">
        <v>275</v>
      </c>
      <c r="AM136" s="79" t="s">
        <v>687</v>
      </c>
      <c r="AN136" s="72">
        <v>3282888</v>
      </c>
      <c r="AO136" s="182" t="s">
        <v>688</v>
      </c>
    </row>
    <row r="137" spans="1:41" ht="78.75" customHeight="1" x14ac:dyDescent="0.3">
      <c r="A137" s="71" t="s">
        <v>650</v>
      </c>
      <c r="B137" s="72" t="s">
        <v>163</v>
      </c>
      <c r="C137" s="72" t="s">
        <v>206</v>
      </c>
      <c r="D137" s="72" t="s">
        <v>224</v>
      </c>
      <c r="E137" s="73" t="str">
        <f>IFERROR(VLOOKUP(D137,DATOS!E:F,2,0),"-")</f>
        <v>PROY1</v>
      </c>
      <c r="F137" s="72" t="s">
        <v>177</v>
      </c>
      <c r="G137" s="73" t="str">
        <f>IFERROR(VLOOKUP(F137,DATOS!G:H,2,0),"-")</f>
        <v>C_3399_1603_6_20302D_3399062</v>
      </c>
      <c r="H137" s="72" t="s">
        <v>187</v>
      </c>
      <c r="I137" s="79" t="s">
        <v>672</v>
      </c>
      <c r="J137" s="72" t="s">
        <v>171</v>
      </c>
      <c r="K137" s="79">
        <v>1</v>
      </c>
      <c r="L137" s="76">
        <f t="shared" si="43"/>
        <v>480000000</v>
      </c>
      <c r="M137" s="79">
        <v>1</v>
      </c>
      <c r="N137" s="192">
        <f t="shared" si="44"/>
        <v>480000000</v>
      </c>
      <c r="O137" s="87">
        <v>0</v>
      </c>
      <c r="P137" s="87">
        <v>480000000</v>
      </c>
      <c r="Q137" s="87">
        <v>0</v>
      </c>
      <c r="R137" s="87">
        <v>0</v>
      </c>
      <c r="S137" s="150">
        <f>IF(D137="","-",VLOOKUP(D137,DATOS!$B$47:$C$48,2,0)-SUMIFS(P$2:P137,D$2:D137,D137))</f>
        <v>17432775710</v>
      </c>
      <c r="T137" s="150">
        <f>IF(D137="","-",VLOOKUP(D137,DATOS!$B$47:$D$48,3,0)-SUMIFS(Q$2:Q137,D$2:D137,D137))</f>
        <v>633818927</v>
      </c>
      <c r="U137" s="150">
        <f>IF(D137="","-",VLOOKUP(D137,DATOS!$B$47:$E$48,4,0)-SUMIFS(R$2:R137,D$2:D137,D137))</f>
        <v>127856486</v>
      </c>
      <c r="V137" s="150">
        <f>IF(H137="","-",VLOOKUP(H137,DATOS!$D$52:$E$75,2,0)-SUMIFS(N$2:N137,H$2:H137,H137))</f>
        <v>1486654135</v>
      </c>
      <c r="W137" s="72"/>
      <c r="X137" s="72"/>
      <c r="Y137" s="72" t="s">
        <v>683</v>
      </c>
      <c r="Z137" s="166" t="str">
        <f t="shared" si="47"/>
        <v>Adquirir licencias de software para diseño, administración y edición con el que cuenta el Archivo General de la Nación. SGGTI17</v>
      </c>
      <c r="AA137" s="71" t="s">
        <v>402</v>
      </c>
      <c r="AB137" s="71" t="s">
        <v>298</v>
      </c>
      <c r="AC137" s="71">
        <v>1</v>
      </c>
      <c r="AD137" s="71" t="s">
        <v>271</v>
      </c>
      <c r="AE137" s="82" t="str">
        <f t="shared" si="48"/>
        <v>Selección abreviada de menor cuantía</v>
      </c>
      <c r="AF137" s="72" t="str">
        <f t="shared" si="51"/>
        <v>Nación</v>
      </c>
      <c r="AG137" s="167">
        <f t="shared" si="52"/>
        <v>480000000</v>
      </c>
      <c r="AH137" s="167">
        <f t="shared" si="49"/>
        <v>480000000</v>
      </c>
      <c r="AI137" s="71" t="s">
        <v>272</v>
      </c>
      <c r="AJ137" s="71" t="s">
        <v>273</v>
      </c>
      <c r="AK137" s="72" t="s">
        <v>274</v>
      </c>
      <c r="AL137" s="71" t="s">
        <v>275</v>
      </c>
      <c r="AM137" s="79" t="s">
        <v>687</v>
      </c>
      <c r="AN137" s="72">
        <v>3282888</v>
      </c>
      <c r="AO137" s="182" t="s">
        <v>688</v>
      </c>
    </row>
    <row r="138" spans="1:41" ht="74.25" customHeight="1" x14ac:dyDescent="0.3">
      <c r="A138" s="71" t="s">
        <v>651</v>
      </c>
      <c r="B138" s="72" t="s">
        <v>163</v>
      </c>
      <c r="C138" s="72" t="s">
        <v>206</v>
      </c>
      <c r="D138" s="72" t="s">
        <v>224</v>
      </c>
      <c r="E138" s="73" t="str">
        <f>IFERROR(VLOOKUP(D138,DATOS!E:F,2,0),"-")</f>
        <v>PROY1</v>
      </c>
      <c r="F138" s="72" t="s">
        <v>177</v>
      </c>
      <c r="G138" s="73" t="str">
        <f>IFERROR(VLOOKUP(F138,DATOS!G:H,2,0),"-")</f>
        <v>C_3399_1603_6_20302D_3399062</v>
      </c>
      <c r="H138" s="72" t="s">
        <v>186</v>
      </c>
      <c r="I138" s="79" t="s">
        <v>673</v>
      </c>
      <c r="J138" s="72" t="s">
        <v>171</v>
      </c>
      <c r="K138" s="79">
        <v>3</v>
      </c>
      <c r="L138" s="76">
        <f t="shared" si="43"/>
        <v>240000000</v>
      </c>
      <c r="M138" s="79">
        <v>1</v>
      </c>
      <c r="N138" s="192">
        <f t="shared" si="44"/>
        <v>720000000</v>
      </c>
      <c r="O138" s="87">
        <v>0</v>
      </c>
      <c r="P138" s="87">
        <v>720000000</v>
      </c>
      <c r="Q138" s="87">
        <v>0</v>
      </c>
      <c r="R138" s="87">
        <v>0</v>
      </c>
      <c r="S138" s="150">
        <f>IF(D138="","-",VLOOKUP(D138,DATOS!$B$47:$C$48,2,0)-SUMIFS(P$2:P138,D$2:D138,D138))</f>
        <v>16712775710</v>
      </c>
      <c r="T138" s="150">
        <f>IF(D138="","-",VLOOKUP(D138,DATOS!$B$47:$D$48,3,0)-SUMIFS(Q$2:Q138,D$2:D138,D138))</f>
        <v>633818927</v>
      </c>
      <c r="U138" s="150">
        <f>IF(D138="","-",VLOOKUP(D138,DATOS!$B$47:$E$48,4,0)-SUMIFS(R$2:R138,D$2:D138,D138))</f>
        <v>127856486</v>
      </c>
      <c r="V138" s="150">
        <f>IF(H138="","-",VLOOKUP(H138,DATOS!$D$52:$E$75,2,0)-SUMIFS(N$2:N138,H$2:H138,H138))</f>
        <v>2435000000</v>
      </c>
      <c r="W138" s="79"/>
      <c r="X138" s="79"/>
      <c r="Y138" s="79" t="s">
        <v>684</v>
      </c>
      <c r="Z138" s="166" t="str">
        <f t="shared" si="47"/>
        <v>Adquirir equipos de computo y accesorios tecnológicos para el Archivo General de la Nación. SGGTI18</v>
      </c>
      <c r="AA138" s="71" t="s">
        <v>402</v>
      </c>
      <c r="AB138" s="71" t="s">
        <v>280</v>
      </c>
      <c r="AC138" s="71">
        <v>3</v>
      </c>
      <c r="AD138" s="71" t="s">
        <v>271</v>
      </c>
      <c r="AE138" s="72" t="str">
        <f t="shared" si="48"/>
        <v>Selección abreviada de menor cuantía</v>
      </c>
      <c r="AF138" s="72" t="str">
        <f t="shared" si="51"/>
        <v>Nación</v>
      </c>
      <c r="AG138" s="167">
        <f t="shared" si="52"/>
        <v>720000000</v>
      </c>
      <c r="AH138" s="167">
        <f t="shared" si="49"/>
        <v>720000000</v>
      </c>
      <c r="AI138" s="71" t="s">
        <v>272</v>
      </c>
      <c r="AJ138" s="71" t="s">
        <v>273</v>
      </c>
      <c r="AK138" s="72" t="s">
        <v>274</v>
      </c>
      <c r="AL138" s="71" t="s">
        <v>275</v>
      </c>
      <c r="AM138" s="79" t="s">
        <v>687</v>
      </c>
      <c r="AN138" s="72">
        <v>3282888</v>
      </c>
      <c r="AO138" s="182" t="s">
        <v>688</v>
      </c>
    </row>
    <row r="139" spans="1:41" ht="77.25" customHeight="1" x14ac:dyDescent="0.3">
      <c r="A139" s="71" t="s">
        <v>652</v>
      </c>
      <c r="B139" s="72" t="s">
        <v>163</v>
      </c>
      <c r="C139" s="72" t="s">
        <v>206</v>
      </c>
      <c r="D139" s="72" t="s">
        <v>224</v>
      </c>
      <c r="E139" s="73" t="str">
        <f>IFERROR(VLOOKUP(D139,DATOS!E:F,2,0),"-")</f>
        <v>PROY1</v>
      </c>
      <c r="F139" s="72" t="s">
        <v>177</v>
      </c>
      <c r="G139" s="73" t="str">
        <f>IFERROR(VLOOKUP(F139,DATOS!G:H,2,0),"-")</f>
        <v>C_3399_1603_6_20302D_3399062</v>
      </c>
      <c r="H139" s="72" t="s">
        <v>188</v>
      </c>
      <c r="I139" s="79" t="s">
        <v>674</v>
      </c>
      <c r="J139" s="72" t="s">
        <v>171</v>
      </c>
      <c r="K139" s="79">
        <v>3</v>
      </c>
      <c r="L139" s="76">
        <f t="shared" si="43"/>
        <v>240000000</v>
      </c>
      <c r="M139" s="79">
        <v>1</v>
      </c>
      <c r="N139" s="192">
        <f t="shared" si="44"/>
        <v>720000000</v>
      </c>
      <c r="O139" s="87">
        <v>0</v>
      </c>
      <c r="P139" s="87">
        <v>720000000</v>
      </c>
      <c r="Q139" s="87">
        <v>0</v>
      </c>
      <c r="R139" s="87">
        <v>0</v>
      </c>
      <c r="S139" s="150">
        <f>IF(D139="","-",VLOOKUP(D139,DATOS!$B$47:$C$48,2,0)-SUMIFS(P$2:P139,D$2:D139,D139))</f>
        <v>15992775710</v>
      </c>
      <c r="T139" s="150">
        <f>IF(D139="","-",VLOOKUP(D139,DATOS!$B$47:$D$48,3,0)-SUMIFS(Q$2:Q139,D$2:D139,D139))</f>
        <v>633818927</v>
      </c>
      <c r="U139" s="150">
        <f>IF(D139="","-",VLOOKUP(D139,DATOS!$B$47:$E$48,4,0)-SUMIFS(R$2:R139,D$2:D139,D139))</f>
        <v>127856486</v>
      </c>
      <c r="V139" s="150">
        <f>IF(H139="","-",VLOOKUP(H139,DATOS!$D$52:$E$75,2,0)-SUMIFS(N$2:N139,H$2:H139,H139))</f>
        <v>0</v>
      </c>
      <c r="W139" s="79"/>
      <c r="X139" s="79"/>
      <c r="Y139" s="79" t="s">
        <v>684</v>
      </c>
      <c r="Z139" s="166" t="str">
        <f t="shared" si="47"/>
        <v>Contratar la renovacion de la Infraestructura tecnologica del SIS. SGGTI19</v>
      </c>
      <c r="AA139" s="71" t="s">
        <v>402</v>
      </c>
      <c r="AB139" s="71" t="s">
        <v>280</v>
      </c>
      <c r="AC139" s="71">
        <v>3</v>
      </c>
      <c r="AD139" s="71" t="s">
        <v>271</v>
      </c>
      <c r="AE139" s="72" t="str">
        <f t="shared" si="48"/>
        <v>Selección abreviada de menor cuantía</v>
      </c>
      <c r="AF139" s="72" t="str">
        <f t="shared" si="51"/>
        <v>Nación</v>
      </c>
      <c r="AG139" s="167">
        <f t="shared" si="52"/>
        <v>720000000</v>
      </c>
      <c r="AH139" s="167">
        <f t="shared" si="49"/>
        <v>720000000</v>
      </c>
      <c r="AI139" s="71" t="s">
        <v>272</v>
      </c>
      <c r="AJ139" s="71" t="s">
        <v>273</v>
      </c>
      <c r="AK139" s="72" t="s">
        <v>274</v>
      </c>
      <c r="AL139" s="71" t="s">
        <v>275</v>
      </c>
      <c r="AM139" s="79" t="s">
        <v>687</v>
      </c>
      <c r="AN139" s="72">
        <v>3282888</v>
      </c>
      <c r="AO139" s="182" t="s">
        <v>688</v>
      </c>
    </row>
    <row r="140" spans="1:41" ht="81.75" customHeight="1" x14ac:dyDescent="0.3">
      <c r="A140" s="194" t="s">
        <v>653</v>
      </c>
      <c r="B140" s="72" t="s">
        <v>163</v>
      </c>
      <c r="C140" s="72" t="s">
        <v>206</v>
      </c>
      <c r="D140" s="72" t="s">
        <v>224</v>
      </c>
      <c r="E140" s="73" t="str">
        <f>IFERROR(VLOOKUP(D140,DATOS!E:F,2,0),"-")</f>
        <v>PROY1</v>
      </c>
      <c r="F140" s="72" t="s">
        <v>177</v>
      </c>
      <c r="G140" s="73" t="str">
        <f>IFERROR(VLOOKUP(F140,DATOS!G:H,2,0),"-")</f>
        <v>C_3399_1603_6_20302D_3399062</v>
      </c>
      <c r="H140" s="72" t="s">
        <v>186</v>
      </c>
      <c r="I140" s="91" t="s">
        <v>675</v>
      </c>
      <c r="J140" s="72" t="s">
        <v>171</v>
      </c>
      <c r="K140" s="79">
        <v>5</v>
      </c>
      <c r="L140" s="76">
        <f t="shared" si="43"/>
        <v>470000000</v>
      </c>
      <c r="M140" s="79">
        <v>1</v>
      </c>
      <c r="N140" s="192">
        <f t="shared" si="44"/>
        <v>2350000000</v>
      </c>
      <c r="O140" s="87">
        <v>0</v>
      </c>
      <c r="P140" s="87">
        <v>2350000000</v>
      </c>
      <c r="Q140" s="87">
        <v>0</v>
      </c>
      <c r="R140" s="87">
        <v>0</v>
      </c>
      <c r="S140" s="150">
        <f>IF(D140="","-",VLOOKUP(D140,DATOS!$B$47:$C$48,2,0)-SUMIFS(P$2:P140,D$2:D140,D140))</f>
        <v>13642775710</v>
      </c>
      <c r="T140" s="150">
        <f>IF(D140="","-",VLOOKUP(D140,DATOS!$B$47:$D$48,3,0)-SUMIFS(Q$2:Q140,D$2:D140,D140))</f>
        <v>633818927</v>
      </c>
      <c r="U140" s="150">
        <f>IF(D140="","-",VLOOKUP(D140,DATOS!$B$47:$E$48,4,0)-SUMIFS(R$2:R140,D$2:D140,D140))</f>
        <v>127856486</v>
      </c>
      <c r="V140" s="150">
        <f>IF(H140="","-",VLOOKUP(H140,DATOS!$D$52:$E$75,2,0)-SUMIFS(N$2:N140,H$2:H140,H140))</f>
        <v>85000000</v>
      </c>
      <c r="W140" s="79"/>
      <c r="X140" s="79"/>
      <c r="Y140" s="79" t="s">
        <v>684</v>
      </c>
      <c r="Z140" s="166" t="str">
        <f t="shared" si="47"/>
        <v>Adquirir equipos para el almacenamiento, realización de copias de seguridad y administración masiva de la información de las sedes del Archivo General de la Nación. SGGTI20</v>
      </c>
      <c r="AA140" s="71" t="s">
        <v>279</v>
      </c>
      <c r="AB140" s="71" t="s">
        <v>280</v>
      </c>
      <c r="AC140" s="71">
        <v>5</v>
      </c>
      <c r="AD140" s="71" t="s">
        <v>271</v>
      </c>
      <c r="AE140" s="72" t="str">
        <f t="shared" si="48"/>
        <v>Selección abreviada de menor cuantía</v>
      </c>
      <c r="AF140" s="72" t="str">
        <f t="shared" si="51"/>
        <v>Nación</v>
      </c>
      <c r="AG140" s="167">
        <f t="shared" si="52"/>
        <v>2350000000</v>
      </c>
      <c r="AH140" s="167">
        <f t="shared" si="49"/>
        <v>2350000000</v>
      </c>
      <c r="AI140" s="71" t="s">
        <v>272</v>
      </c>
      <c r="AJ140" s="71" t="s">
        <v>273</v>
      </c>
      <c r="AK140" s="72" t="s">
        <v>274</v>
      </c>
      <c r="AL140" s="71" t="s">
        <v>275</v>
      </c>
      <c r="AM140" s="79" t="s">
        <v>687</v>
      </c>
      <c r="AN140" s="72">
        <v>3282888</v>
      </c>
      <c r="AO140" s="182" t="s">
        <v>688</v>
      </c>
    </row>
    <row r="141" spans="1:41" ht="92.25" customHeight="1" x14ac:dyDescent="0.3">
      <c r="A141" s="195" t="s">
        <v>654</v>
      </c>
      <c r="B141" s="72" t="s">
        <v>163</v>
      </c>
      <c r="C141" s="72" t="s">
        <v>206</v>
      </c>
      <c r="D141" s="72" t="s">
        <v>224</v>
      </c>
      <c r="E141" s="73" t="str">
        <f>IFERROR(VLOOKUP(D141,DATOS!E:F,2,0),"-")</f>
        <v>PROY1</v>
      </c>
      <c r="F141" s="72" t="s">
        <v>177</v>
      </c>
      <c r="G141" s="73" t="str">
        <f>IFERROR(VLOOKUP(F141,DATOS!G:H,2,0),"-")</f>
        <v>C_3399_1603_6_20302D_3399062</v>
      </c>
      <c r="H141" s="72" t="s">
        <v>186</v>
      </c>
      <c r="I141" s="79" t="s">
        <v>676</v>
      </c>
      <c r="J141" s="72" t="s">
        <v>171</v>
      </c>
      <c r="K141" s="79">
        <v>1</v>
      </c>
      <c r="L141" s="76">
        <f t="shared" si="43"/>
        <v>85000000</v>
      </c>
      <c r="M141" s="79">
        <v>1</v>
      </c>
      <c r="N141" s="192">
        <f t="shared" si="44"/>
        <v>85000000</v>
      </c>
      <c r="O141" s="87">
        <v>0</v>
      </c>
      <c r="P141" s="87">
        <v>85000000</v>
      </c>
      <c r="Q141" s="87">
        <v>0</v>
      </c>
      <c r="R141" s="87">
        <v>0</v>
      </c>
      <c r="S141" s="150">
        <f>IF(D141="","-",VLOOKUP(D141,DATOS!$B$47:$C$48,2,0)-SUMIFS(P$2:P141,D$2:D141,D141))</f>
        <v>13557775710</v>
      </c>
      <c r="T141" s="150">
        <f>IF(D141="","-",VLOOKUP(D141,DATOS!$B$47:$D$48,3,0)-SUMIFS(Q$2:Q141,D$2:D141,D141))</f>
        <v>633818927</v>
      </c>
      <c r="U141" s="150">
        <f>IF(D141="","-",VLOOKUP(D141,DATOS!$B$47:$E$48,4,0)-SUMIFS(R$2:R141,D$2:D141,D141))</f>
        <v>127856486</v>
      </c>
      <c r="V141" s="150">
        <f>IF(H141="","-",VLOOKUP(H141,DATOS!$D$52:$E$75,2,0)-SUMIFS(N$2:N141,H$2:H141,H141))</f>
        <v>0</v>
      </c>
      <c r="W141" s="79"/>
      <c r="X141" s="79"/>
      <c r="Y141" s="79" t="s">
        <v>684</v>
      </c>
      <c r="Z141" s="166" t="str">
        <f t="shared" si="47"/>
        <v>Compra de equipos para reprografía del Archivo General de la Nación. SGGTI21</v>
      </c>
      <c r="AA141" s="71" t="s">
        <v>298</v>
      </c>
      <c r="AB141" s="71" t="s">
        <v>293</v>
      </c>
      <c r="AC141" s="71">
        <v>1</v>
      </c>
      <c r="AD141" s="71" t="s">
        <v>271</v>
      </c>
      <c r="AE141" s="72" t="str">
        <f t="shared" si="48"/>
        <v>Selección abreviada de menor cuantía</v>
      </c>
      <c r="AF141" s="72" t="str">
        <f t="shared" si="51"/>
        <v>Nación</v>
      </c>
      <c r="AG141" s="167">
        <f t="shared" si="52"/>
        <v>85000000</v>
      </c>
      <c r="AH141" s="167">
        <f t="shared" si="49"/>
        <v>85000000</v>
      </c>
      <c r="AI141" s="71" t="s">
        <v>272</v>
      </c>
      <c r="AJ141" s="71" t="s">
        <v>273</v>
      </c>
      <c r="AK141" s="72" t="s">
        <v>274</v>
      </c>
      <c r="AL141" s="71" t="s">
        <v>275</v>
      </c>
      <c r="AM141" s="79" t="s">
        <v>687</v>
      </c>
      <c r="AN141" s="72">
        <v>3282888</v>
      </c>
      <c r="AO141" s="182" t="s">
        <v>688</v>
      </c>
    </row>
    <row r="142" spans="1:41" ht="92.25" customHeight="1" x14ac:dyDescent="0.3">
      <c r="A142" s="196" t="s">
        <v>655</v>
      </c>
      <c r="B142" s="72" t="s">
        <v>163</v>
      </c>
      <c r="C142" s="72" t="s">
        <v>206</v>
      </c>
      <c r="D142" s="72" t="s">
        <v>224</v>
      </c>
      <c r="E142" s="73" t="str">
        <f>IFERROR(VLOOKUP(D142,DATOS!E:F,2,0),"-")</f>
        <v>PROY1</v>
      </c>
      <c r="F142" s="72" t="s">
        <v>177</v>
      </c>
      <c r="G142" s="73" t="str">
        <f>IFERROR(VLOOKUP(F142,DATOS!G:H,2,0),"-")</f>
        <v>C_3399_1603_6_20302D_3399062</v>
      </c>
      <c r="H142" s="72" t="s">
        <v>187</v>
      </c>
      <c r="I142" s="79" t="s">
        <v>677</v>
      </c>
      <c r="J142" s="72" t="s">
        <v>171</v>
      </c>
      <c r="K142" s="79">
        <v>1</v>
      </c>
      <c r="L142" s="76">
        <f t="shared" si="43"/>
        <v>1472154135</v>
      </c>
      <c r="M142" s="79">
        <v>1</v>
      </c>
      <c r="N142" s="192">
        <f t="shared" si="44"/>
        <v>1472154135</v>
      </c>
      <c r="O142" s="87">
        <v>0</v>
      </c>
      <c r="P142" s="87">
        <v>1218335209</v>
      </c>
      <c r="Q142" s="87">
        <v>253818926</v>
      </c>
      <c r="R142" s="87">
        <v>0</v>
      </c>
      <c r="S142" s="150">
        <f>IF(D142="","-",VLOOKUP(D142,DATOS!$B$47:$C$48,2,0)-SUMIFS(P$2:P142,D$2:D142,D142))</f>
        <v>12339440501</v>
      </c>
      <c r="T142" s="150">
        <f>IF(D142="","-",VLOOKUP(D142,DATOS!$B$47:$D$48,3,0)-SUMIFS(Q$2:Q142,D$2:D142,D142))</f>
        <v>380000001</v>
      </c>
      <c r="U142" s="150">
        <f>IF(D142="","-",VLOOKUP(D142,DATOS!$B$47:$E$48,4,0)-SUMIFS(R$2:R142,D$2:D142,D142))</f>
        <v>127856486</v>
      </c>
      <c r="V142" s="150">
        <f>IF(H142="","-",VLOOKUP(H142,DATOS!$D$52:$E$75,2,0)-SUMIFS(N$2:N142,H$2:H142,H142))</f>
        <v>14500000</v>
      </c>
      <c r="W142" s="79"/>
      <c r="X142" s="79"/>
      <c r="Y142" s="79" t="s">
        <v>684</v>
      </c>
      <c r="Z142" s="166" t="str">
        <f t="shared" si="47"/>
        <v>Adquirir dispositivos de red y renovar el cableado estructurado del Archivo General de la Nación. SGGTI22</v>
      </c>
      <c r="AA142" s="71" t="s">
        <v>298</v>
      </c>
      <c r="AB142" s="71" t="s">
        <v>293</v>
      </c>
      <c r="AC142" s="71">
        <v>1</v>
      </c>
      <c r="AD142" s="71" t="s">
        <v>271</v>
      </c>
      <c r="AE142" s="72" t="str">
        <f t="shared" si="48"/>
        <v>Selección abreviada de menor cuantía</v>
      </c>
      <c r="AF142" s="72" t="str">
        <f t="shared" si="51"/>
        <v>Nación</v>
      </c>
      <c r="AG142" s="167">
        <f t="shared" si="52"/>
        <v>1472154135</v>
      </c>
      <c r="AH142" s="167">
        <f t="shared" si="49"/>
        <v>1472154135</v>
      </c>
      <c r="AI142" s="71" t="s">
        <v>272</v>
      </c>
      <c r="AJ142" s="71" t="s">
        <v>273</v>
      </c>
      <c r="AK142" s="72" t="s">
        <v>274</v>
      </c>
      <c r="AL142" s="71" t="s">
        <v>275</v>
      </c>
      <c r="AM142" s="79" t="s">
        <v>687</v>
      </c>
      <c r="AN142" s="72">
        <v>3282888</v>
      </c>
      <c r="AO142" s="182" t="s">
        <v>688</v>
      </c>
    </row>
    <row r="143" spans="1:41" ht="85.5" customHeight="1" x14ac:dyDescent="0.3">
      <c r="A143" s="196" t="s">
        <v>656</v>
      </c>
      <c r="B143" s="72" t="s">
        <v>163</v>
      </c>
      <c r="C143" s="72" t="s">
        <v>206</v>
      </c>
      <c r="D143" s="72" t="s">
        <v>224</v>
      </c>
      <c r="E143" s="73" t="str">
        <f>IFERROR(VLOOKUP(D143,DATOS!E:F,2,0),"-")</f>
        <v>PROY1</v>
      </c>
      <c r="F143" s="72" t="s">
        <v>177</v>
      </c>
      <c r="G143" s="73" t="str">
        <f>IFERROR(VLOOKUP(F143,DATOS!G:H,2,0),"-")</f>
        <v>C_3399_1603_6_20302D_3399062</v>
      </c>
      <c r="H143" s="72" t="s">
        <v>187</v>
      </c>
      <c r="I143" s="79" t="s">
        <v>678</v>
      </c>
      <c r="J143" s="72" t="s">
        <v>161</v>
      </c>
      <c r="K143" s="79">
        <v>1</v>
      </c>
      <c r="L143" s="76">
        <f t="shared" si="43"/>
        <v>2300000</v>
      </c>
      <c r="M143" s="79">
        <v>1</v>
      </c>
      <c r="N143" s="192">
        <f t="shared" si="44"/>
        <v>2300000</v>
      </c>
      <c r="O143" s="87">
        <v>0</v>
      </c>
      <c r="P143" s="87">
        <v>2300000</v>
      </c>
      <c r="Q143" s="87">
        <v>0</v>
      </c>
      <c r="R143" s="87">
        <v>0</v>
      </c>
      <c r="S143" s="150">
        <f>IF(D143="","-",VLOOKUP(D143,DATOS!$B$47:$C$48,2,0)-SUMIFS(P$2:P143,D$2:D143,D143))</f>
        <v>12337140501</v>
      </c>
      <c r="T143" s="150">
        <f>IF(D143="","-",VLOOKUP(D143,DATOS!$B$47:$D$48,3,0)-SUMIFS(Q$2:Q143,D$2:D143,D143))</f>
        <v>380000001</v>
      </c>
      <c r="U143" s="150">
        <f>IF(D143="","-",VLOOKUP(D143,DATOS!$B$47:$E$48,4,0)-SUMIFS(R$2:R143,D$2:D143,D143))</f>
        <v>127856486</v>
      </c>
      <c r="V143" s="150">
        <f>IF(H143="","-",VLOOKUP(H143,DATOS!$D$52:$E$75,2,0)-SUMIFS(N$2:N143,H$2:H143,H143))</f>
        <v>12200000</v>
      </c>
      <c r="W143" s="79"/>
      <c r="X143" s="79"/>
      <c r="Y143" s="79" t="s">
        <v>685</v>
      </c>
      <c r="Z143" s="166" t="str">
        <f t="shared" si="47"/>
        <v>Renovación de servicio Transaccional de la pasarela de pagos del Archivo General de la Nación. SGGTI23</v>
      </c>
      <c r="AA143" s="71" t="s">
        <v>292</v>
      </c>
      <c r="AB143" s="71" t="s">
        <v>278</v>
      </c>
      <c r="AC143" s="71">
        <v>1</v>
      </c>
      <c r="AD143" s="71" t="s">
        <v>271</v>
      </c>
      <c r="AE143" s="72" t="str">
        <f t="shared" si="48"/>
        <v>Contratación directa</v>
      </c>
      <c r="AF143" s="72" t="str">
        <f t="shared" si="51"/>
        <v>Nación</v>
      </c>
      <c r="AG143" s="167">
        <f t="shared" si="52"/>
        <v>2300000</v>
      </c>
      <c r="AH143" s="167">
        <f t="shared" si="49"/>
        <v>2300000</v>
      </c>
      <c r="AI143" s="71" t="s">
        <v>272</v>
      </c>
      <c r="AJ143" s="71" t="s">
        <v>273</v>
      </c>
      <c r="AK143" s="72" t="s">
        <v>274</v>
      </c>
      <c r="AL143" s="71" t="s">
        <v>275</v>
      </c>
      <c r="AM143" s="79" t="s">
        <v>687</v>
      </c>
      <c r="AN143" s="72">
        <v>3282888</v>
      </c>
      <c r="AO143" s="182" t="s">
        <v>688</v>
      </c>
    </row>
    <row r="144" spans="1:41" ht="81" customHeight="1" x14ac:dyDescent="0.3">
      <c r="A144" s="71" t="s">
        <v>778</v>
      </c>
      <c r="B144" s="72" t="s">
        <v>163</v>
      </c>
      <c r="C144" s="72" t="s">
        <v>206</v>
      </c>
      <c r="D144" s="72" t="s">
        <v>224</v>
      </c>
      <c r="E144" s="73" t="str">
        <f>IFERROR(VLOOKUP(D144,DATOS!E:F,2,0),"-")</f>
        <v>PROY1</v>
      </c>
      <c r="F144" s="72" t="s">
        <v>177</v>
      </c>
      <c r="G144" s="73" t="str">
        <f>IFERROR(VLOOKUP(F144,DATOS!G:H,2,0),"-")</f>
        <v>C_3399_1603_6_20302D_3399062</v>
      </c>
      <c r="H144" s="72" t="s">
        <v>187</v>
      </c>
      <c r="I144" s="91" t="s">
        <v>779</v>
      </c>
      <c r="J144" s="72" t="s">
        <v>161</v>
      </c>
      <c r="K144" s="79">
        <v>2</v>
      </c>
      <c r="L144" s="76">
        <f t="shared" ref="L144" si="53">(N144/M144)/K144</f>
        <v>6100000</v>
      </c>
      <c r="M144" s="79">
        <v>1</v>
      </c>
      <c r="N144" s="192">
        <f t="shared" ref="N144" si="54">IF(SUM(O144:R144)=0,"-",SUM(O144:R144))</f>
        <v>12200000</v>
      </c>
      <c r="O144" s="87">
        <v>0</v>
      </c>
      <c r="P144" s="87">
        <v>12200000</v>
      </c>
      <c r="Q144" s="87">
        <v>0</v>
      </c>
      <c r="R144" s="87">
        <v>0</v>
      </c>
      <c r="S144" s="150">
        <f>IF(D144="","-",VLOOKUP(D144,DATOS!$B$47:$C$48,2,0)-SUMIFS(P$2:P144,D$2:D144,D144))</f>
        <v>12324940501</v>
      </c>
      <c r="T144" s="150">
        <f>IF(D144="","-",VLOOKUP(D144,DATOS!$B$47:$D$48,3,0)-SUMIFS(Q$2:Q144,D$2:D144,D144))</f>
        <v>380000001</v>
      </c>
      <c r="U144" s="150">
        <f>IF(D144="","-",VLOOKUP(D144,DATOS!$B$47:$E$48,4,0)-SUMIFS(R$2:R144,D$2:D144,D144))</f>
        <v>127856486</v>
      </c>
      <c r="V144" s="150">
        <f>IF(H144="","-",VLOOKUP(H144,DATOS!$D$52:$E$75,2,0)-SUMIFS(N$2:N144,H$2:H144,H144))</f>
        <v>0</v>
      </c>
      <c r="W144" s="72"/>
      <c r="X144" s="72"/>
      <c r="Y144" s="72" t="s">
        <v>419</v>
      </c>
      <c r="Z144" s="166" t="str">
        <f t="shared" si="47"/>
        <v xml:space="preserve">
Contratar los servicios profesionales para el mantenimiento, actualización y administración de los portales web del Archivo General de la Nación SGGTI24</v>
      </c>
      <c r="AA144" s="71" t="s">
        <v>292</v>
      </c>
      <c r="AB144" s="71" t="s">
        <v>292</v>
      </c>
      <c r="AC144" s="71">
        <v>7</v>
      </c>
      <c r="AD144" s="71" t="s">
        <v>271</v>
      </c>
      <c r="AE144" s="72" t="str">
        <f t="shared" si="48"/>
        <v>Contratación directa</v>
      </c>
      <c r="AF144" s="72" t="str">
        <f t="shared" ref="AF144" si="55">IF(SUM(O144:R144)=0,"-",IF(SUM(O144:P144)&gt;=SUM(Q144:R144),"Nación","Propios"))</f>
        <v>Nación</v>
      </c>
      <c r="AG144" s="167">
        <f t="shared" ref="AG144" si="56">AH144</f>
        <v>12200000</v>
      </c>
      <c r="AH144" s="167">
        <f t="shared" si="49"/>
        <v>12200000</v>
      </c>
      <c r="AI144" s="71" t="s">
        <v>272</v>
      </c>
      <c r="AJ144" s="71" t="s">
        <v>273</v>
      </c>
      <c r="AK144" s="72" t="s">
        <v>274</v>
      </c>
      <c r="AL144" s="71" t="s">
        <v>275</v>
      </c>
      <c r="AM144" s="204" t="s">
        <v>780</v>
      </c>
      <c r="AN144" s="72">
        <v>3282888</v>
      </c>
      <c r="AO144" s="170" t="s">
        <v>781</v>
      </c>
    </row>
    <row r="145" spans="1:41" ht="81" customHeight="1" x14ac:dyDescent="0.3">
      <c r="A145" s="79" t="s">
        <v>365</v>
      </c>
      <c r="B145" s="72" t="s">
        <v>163</v>
      </c>
      <c r="C145" s="72" t="s">
        <v>205</v>
      </c>
      <c r="D145" s="72" t="s">
        <v>224</v>
      </c>
      <c r="E145" s="73" t="str">
        <f>IFERROR(VLOOKUP(D145,DATOS!E:F,2,0),"-")</f>
        <v>PROY1</v>
      </c>
      <c r="F145" s="72" t="s">
        <v>178</v>
      </c>
      <c r="G145" s="73" t="str">
        <f>IFERROR(VLOOKUP(F145,DATOS!G:H,2,0),"-")</f>
        <v>C_3399_1603_6_20302D_3399016</v>
      </c>
      <c r="H145" s="72" t="s">
        <v>189</v>
      </c>
      <c r="I145" s="79" t="s">
        <v>707</v>
      </c>
      <c r="J145" s="72" t="s">
        <v>164</v>
      </c>
      <c r="K145" s="79">
        <v>5</v>
      </c>
      <c r="L145" s="76">
        <f t="shared" si="43"/>
        <v>300000000</v>
      </c>
      <c r="M145" s="79">
        <v>1</v>
      </c>
      <c r="N145" s="192">
        <f t="shared" si="44"/>
        <v>1500000000</v>
      </c>
      <c r="O145" s="87">
        <v>0</v>
      </c>
      <c r="P145" s="87">
        <v>1500000000</v>
      </c>
      <c r="Q145" s="87">
        <v>0</v>
      </c>
      <c r="R145" s="87">
        <v>0</v>
      </c>
      <c r="S145" s="150">
        <f>IF(D145="","-",VLOOKUP(D145,DATOS!$B$47:$C$48,2,0)-SUMIFS(P$2:P145,D$2:D145,D145))</f>
        <v>10824940501</v>
      </c>
      <c r="T145" s="150">
        <f>IF(D145="","-",VLOOKUP(D145,DATOS!$B$47:$D$48,3,0)-SUMIFS(Q$2:Q145,D$2:D145,D145))</f>
        <v>380000001</v>
      </c>
      <c r="U145" s="150">
        <f>IF(D145="","-",VLOOKUP(D145,DATOS!$B$47:$E$48,4,0)-SUMIFS(R$2:R145,D$2:D145,D145))</f>
        <v>127856486</v>
      </c>
      <c r="V145" s="150">
        <f>IF(H145="","-",VLOOKUP(H145,DATOS!$D$52:$E$75,2,0)-SUMIFS(N$2:N145,H$2:H145,H145))</f>
        <v>10930255132</v>
      </c>
      <c r="W145" s="79"/>
      <c r="X145" s="79"/>
      <c r="Y145" s="79" t="s">
        <v>731</v>
      </c>
      <c r="Z145" s="166" t="str">
        <f t="shared" si="47"/>
        <v>Adelantar las obras necesarias para la construcción, el suministro, montaje y puesta en funcionamiento de una subestación de energía eléctrica de MT/BT en la sede Funza del Archivo General de la Nación GSA1</v>
      </c>
      <c r="AA145" s="71" t="s">
        <v>279</v>
      </c>
      <c r="AB145" s="71" t="s">
        <v>402</v>
      </c>
      <c r="AC145" s="71">
        <v>5</v>
      </c>
      <c r="AD145" s="71" t="s">
        <v>271</v>
      </c>
      <c r="AE145" s="72" t="str">
        <f t="shared" si="48"/>
        <v>Licitación pública</v>
      </c>
      <c r="AF145" s="72" t="str">
        <f t="shared" ref="AF145" si="57">IF(SUM(O145:R145)=0,"-",IF(SUM(O145:P145)&gt;=SUM(Q145:R145),"Nación","Propios"))</f>
        <v>Nación</v>
      </c>
      <c r="AG145" s="167">
        <f t="shared" ref="AG145" si="58">AH145</f>
        <v>1500000000</v>
      </c>
      <c r="AH145" s="167">
        <f t="shared" si="49"/>
        <v>1500000000</v>
      </c>
      <c r="AI145" s="71" t="s">
        <v>272</v>
      </c>
      <c r="AJ145" s="71" t="s">
        <v>273</v>
      </c>
      <c r="AK145" s="72" t="s">
        <v>274</v>
      </c>
      <c r="AL145" s="71" t="s">
        <v>275</v>
      </c>
      <c r="AM145" s="79" t="s">
        <v>747</v>
      </c>
      <c r="AN145" s="79">
        <v>3282888</v>
      </c>
      <c r="AO145" s="169" t="s">
        <v>353</v>
      </c>
    </row>
    <row r="146" spans="1:41" ht="78" customHeight="1" x14ac:dyDescent="0.3">
      <c r="A146" s="79" t="s">
        <v>372</v>
      </c>
      <c r="B146" s="72" t="s">
        <v>163</v>
      </c>
      <c r="C146" s="72" t="s">
        <v>205</v>
      </c>
      <c r="D146" s="72" t="s">
        <v>224</v>
      </c>
      <c r="E146" s="73" t="str">
        <f>IFERROR(VLOOKUP(D146,DATOS!E:F,2,0),"-")</f>
        <v>PROY1</v>
      </c>
      <c r="F146" s="72" t="s">
        <v>178</v>
      </c>
      <c r="G146" s="73" t="str">
        <f>IFERROR(VLOOKUP(F146,DATOS!G:H,2,0),"-")</f>
        <v>C_3399_1603_6_20302D_3399016</v>
      </c>
      <c r="H146" s="72" t="s">
        <v>189</v>
      </c>
      <c r="I146" s="79" t="s">
        <v>708</v>
      </c>
      <c r="J146" s="72" t="s">
        <v>158</v>
      </c>
      <c r="K146" s="79">
        <v>5</v>
      </c>
      <c r="L146" s="76">
        <f t="shared" si="43"/>
        <v>21000000</v>
      </c>
      <c r="M146" s="79">
        <v>1</v>
      </c>
      <c r="N146" s="192">
        <f t="shared" si="44"/>
        <v>105000000</v>
      </c>
      <c r="O146" s="87">
        <v>0</v>
      </c>
      <c r="P146" s="87">
        <v>105000000</v>
      </c>
      <c r="Q146" s="87">
        <v>0</v>
      </c>
      <c r="R146" s="87">
        <v>0</v>
      </c>
      <c r="S146" s="150">
        <f>IF(D146="","-",VLOOKUP(D146,DATOS!$B$47:$C$48,2,0)-SUMIFS(P$2:P146,D$2:D146,D146))</f>
        <v>10719940501</v>
      </c>
      <c r="T146" s="150">
        <f>IF(D146="","-",VLOOKUP(D146,DATOS!$B$47:$D$48,3,0)-SUMIFS(Q$2:Q146,D$2:D146,D146))</f>
        <v>380000001</v>
      </c>
      <c r="U146" s="150">
        <f>IF(D146="","-",VLOOKUP(D146,DATOS!$B$47:$E$48,4,0)-SUMIFS(R$2:R146,D$2:D146,D146))</f>
        <v>127856486</v>
      </c>
      <c r="V146" s="150">
        <f>IF(H146="","-",VLOOKUP(H146,DATOS!$D$52:$E$75,2,0)-SUMIFS(N$2:N146,H$2:H146,H146))</f>
        <v>10825255132</v>
      </c>
      <c r="W146" s="79"/>
      <c r="X146" s="79"/>
      <c r="Y146" s="79" t="s">
        <v>732</v>
      </c>
      <c r="Z146" s="166" t="str">
        <f t="shared" si="47"/>
        <v xml:space="preserve"> Interventoria Subestación electrica Sede Funza GSA2</v>
      </c>
      <c r="AA146" s="71" t="s">
        <v>279</v>
      </c>
      <c r="AB146" s="71" t="s">
        <v>402</v>
      </c>
      <c r="AC146" s="71">
        <v>5</v>
      </c>
      <c r="AD146" s="71" t="s">
        <v>271</v>
      </c>
      <c r="AE146" s="72" t="str">
        <f t="shared" si="48"/>
        <v>Concurso de méritos</v>
      </c>
      <c r="AF146" s="72" t="str">
        <f t="shared" ref="AF146:AF167" si="59">IF(SUM(O146:R146)=0,"-",IF(SUM(O146:P146)&gt;=SUM(Q146:R146),"Nación","Propios"))</f>
        <v>Nación</v>
      </c>
      <c r="AG146" s="167">
        <f t="shared" ref="AG146:AG167" si="60">AH146</f>
        <v>105000000</v>
      </c>
      <c r="AH146" s="167">
        <f t="shared" si="49"/>
        <v>105000000</v>
      </c>
      <c r="AI146" s="71" t="s">
        <v>272</v>
      </c>
      <c r="AJ146" s="71" t="s">
        <v>273</v>
      </c>
      <c r="AK146" s="72" t="s">
        <v>274</v>
      </c>
      <c r="AL146" s="71" t="s">
        <v>275</v>
      </c>
      <c r="AM146" s="79" t="s">
        <v>747</v>
      </c>
      <c r="AN146" s="79">
        <v>3282888</v>
      </c>
      <c r="AO146" s="169" t="s">
        <v>353</v>
      </c>
    </row>
    <row r="147" spans="1:41" ht="74.25" customHeight="1" x14ac:dyDescent="0.3">
      <c r="A147" s="79" t="s">
        <v>375</v>
      </c>
      <c r="B147" s="72" t="s">
        <v>163</v>
      </c>
      <c r="C147" s="72" t="s">
        <v>205</v>
      </c>
      <c r="D147" s="72" t="s">
        <v>224</v>
      </c>
      <c r="E147" s="73" t="str">
        <f>IFERROR(VLOOKUP(D147,DATOS!E:F,2,0),"-")</f>
        <v>PROY1</v>
      </c>
      <c r="F147" s="72" t="s">
        <v>178</v>
      </c>
      <c r="G147" s="73" t="str">
        <f>IFERROR(VLOOKUP(F147,DATOS!G:H,2,0),"-")</f>
        <v>C_3399_1603_6_20302D_3399016</v>
      </c>
      <c r="H147" s="72" t="s">
        <v>189</v>
      </c>
      <c r="I147" s="79" t="s">
        <v>709</v>
      </c>
      <c r="J147" s="72" t="s">
        <v>164</v>
      </c>
      <c r="K147" s="79">
        <v>4</v>
      </c>
      <c r="L147" s="76">
        <f t="shared" si="43"/>
        <v>750000000</v>
      </c>
      <c r="M147" s="79">
        <v>1</v>
      </c>
      <c r="N147" s="192">
        <f t="shared" si="44"/>
        <v>3000000000</v>
      </c>
      <c r="O147" s="87">
        <v>0</v>
      </c>
      <c r="P147" s="87">
        <v>3000000000</v>
      </c>
      <c r="Q147" s="87">
        <v>0</v>
      </c>
      <c r="R147" s="87">
        <v>0</v>
      </c>
      <c r="S147" s="150">
        <f>IF(D147="","-",VLOOKUP(D147,DATOS!$B$47:$C$48,2,0)-SUMIFS(P$2:P147,D$2:D147,D147))</f>
        <v>7719940501</v>
      </c>
      <c r="T147" s="150">
        <f>IF(D147="","-",VLOOKUP(D147,DATOS!$B$47:$D$48,3,0)-SUMIFS(Q$2:Q147,D$2:D147,D147))</f>
        <v>380000001</v>
      </c>
      <c r="U147" s="150">
        <f>IF(D147="","-",VLOOKUP(D147,DATOS!$B$47:$E$48,4,0)-SUMIFS(R$2:R147,D$2:D147,D147))</f>
        <v>127856486</v>
      </c>
      <c r="V147" s="150">
        <f>IF(H147="","-",VLOOKUP(H147,DATOS!$D$52:$E$75,2,0)-SUMIFS(N$2:N147,H$2:H147,H147))</f>
        <v>7825255132</v>
      </c>
      <c r="W147" s="79"/>
      <c r="X147" s="79"/>
      <c r="Y147" s="79" t="s">
        <v>733</v>
      </c>
      <c r="Z147" s="166" t="str">
        <f t="shared" si="47"/>
        <v>Adelantar la obra para el desarrollo de la Fase 2 del Módulo 7  Sede Funza GSA3</v>
      </c>
      <c r="AA147" s="72" t="s">
        <v>280</v>
      </c>
      <c r="AB147" s="72" t="s">
        <v>298</v>
      </c>
      <c r="AC147" s="71">
        <v>4</v>
      </c>
      <c r="AD147" s="71" t="s">
        <v>271</v>
      </c>
      <c r="AE147" s="72" t="str">
        <f t="shared" si="48"/>
        <v>Licitación pública</v>
      </c>
      <c r="AF147" s="72" t="str">
        <f t="shared" si="59"/>
        <v>Nación</v>
      </c>
      <c r="AG147" s="167">
        <f t="shared" si="60"/>
        <v>3000000000</v>
      </c>
      <c r="AH147" s="167">
        <f t="shared" si="49"/>
        <v>3000000000</v>
      </c>
      <c r="AI147" s="71" t="s">
        <v>272</v>
      </c>
      <c r="AJ147" s="71" t="s">
        <v>273</v>
      </c>
      <c r="AK147" s="72" t="s">
        <v>274</v>
      </c>
      <c r="AL147" s="71" t="s">
        <v>275</v>
      </c>
      <c r="AM147" s="79" t="s">
        <v>747</v>
      </c>
      <c r="AN147" s="79">
        <v>3282888</v>
      </c>
      <c r="AO147" s="169" t="s">
        <v>353</v>
      </c>
    </row>
    <row r="148" spans="1:41" ht="79.5" customHeight="1" x14ac:dyDescent="0.3">
      <c r="A148" s="79" t="s">
        <v>378</v>
      </c>
      <c r="B148" s="72" t="s">
        <v>163</v>
      </c>
      <c r="C148" s="72" t="s">
        <v>205</v>
      </c>
      <c r="D148" s="72" t="s">
        <v>224</v>
      </c>
      <c r="E148" s="73" t="str">
        <f>IFERROR(VLOOKUP(D148,DATOS!E:F,2,0),"-")</f>
        <v>PROY1</v>
      </c>
      <c r="F148" s="72" t="s">
        <v>178</v>
      </c>
      <c r="G148" s="73" t="str">
        <f>IFERROR(VLOOKUP(F148,DATOS!G:H,2,0),"-")</f>
        <v>C_3399_1603_6_20302D_3399016</v>
      </c>
      <c r="H148" s="72" t="s">
        <v>189</v>
      </c>
      <c r="I148" s="79" t="s">
        <v>710</v>
      </c>
      <c r="J148" s="72" t="s">
        <v>158</v>
      </c>
      <c r="K148" s="79">
        <v>4</v>
      </c>
      <c r="L148" s="76">
        <f t="shared" si="43"/>
        <v>52500000</v>
      </c>
      <c r="M148" s="79">
        <v>1</v>
      </c>
      <c r="N148" s="192">
        <f t="shared" si="44"/>
        <v>210000000</v>
      </c>
      <c r="O148" s="87">
        <v>0</v>
      </c>
      <c r="P148" s="87">
        <v>210000000</v>
      </c>
      <c r="Q148" s="87">
        <v>0</v>
      </c>
      <c r="R148" s="87">
        <v>0</v>
      </c>
      <c r="S148" s="150">
        <f>IF(D148="","-",VLOOKUP(D148,DATOS!$B$47:$C$48,2,0)-SUMIFS(P$2:P148,D$2:D148,D148))</f>
        <v>7509940501</v>
      </c>
      <c r="T148" s="150">
        <f>IF(D148="","-",VLOOKUP(D148,DATOS!$B$47:$D$48,3,0)-SUMIFS(Q$2:Q148,D$2:D148,D148))</f>
        <v>380000001</v>
      </c>
      <c r="U148" s="150">
        <f>IF(D148="","-",VLOOKUP(D148,DATOS!$B$47:$E$48,4,0)-SUMIFS(R$2:R148,D$2:D148,D148))</f>
        <v>127856486</v>
      </c>
      <c r="V148" s="150">
        <f>IF(H148="","-",VLOOKUP(H148,DATOS!$D$52:$E$75,2,0)-SUMIFS(N$2:N148,H$2:H148,H148))</f>
        <v>7615255132</v>
      </c>
      <c r="W148" s="79"/>
      <c r="X148" s="79"/>
      <c r="Y148" s="79" t="s">
        <v>734</v>
      </c>
      <c r="Z148" s="166" t="str">
        <f t="shared" si="47"/>
        <v>Interventoria a Fase 2 Montaje Módulo 7  Sede Funza GSA4</v>
      </c>
      <c r="AA148" s="72" t="s">
        <v>280</v>
      </c>
      <c r="AB148" s="72" t="s">
        <v>298</v>
      </c>
      <c r="AC148" s="71">
        <v>4</v>
      </c>
      <c r="AD148" s="71" t="s">
        <v>271</v>
      </c>
      <c r="AE148" s="72" t="str">
        <f t="shared" si="48"/>
        <v>Concurso de méritos</v>
      </c>
      <c r="AF148" s="72" t="str">
        <f t="shared" si="59"/>
        <v>Nación</v>
      </c>
      <c r="AG148" s="167">
        <f t="shared" si="60"/>
        <v>210000000</v>
      </c>
      <c r="AH148" s="167">
        <f t="shared" si="49"/>
        <v>210000000</v>
      </c>
      <c r="AI148" s="71" t="s">
        <v>272</v>
      </c>
      <c r="AJ148" s="71" t="s">
        <v>273</v>
      </c>
      <c r="AK148" s="72" t="s">
        <v>274</v>
      </c>
      <c r="AL148" s="71" t="s">
        <v>275</v>
      </c>
      <c r="AM148" s="79" t="s">
        <v>747</v>
      </c>
      <c r="AN148" s="79">
        <v>3282888</v>
      </c>
      <c r="AO148" s="169" t="s">
        <v>353</v>
      </c>
    </row>
    <row r="149" spans="1:41" ht="79.5" customHeight="1" x14ac:dyDescent="0.3">
      <c r="A149" s="79" t="s">
        <v>380</v>
      </c>
      <c r="B149" s="72" t="s">
        <v>163</v>
      </c>
      <c r="C149" s="72" t="s">
        <v>205</v>
      </c>
      <c r="D149" s="72" t="s">
        <v>224</v>
      </c>
      <c r="E149" s="73" t="str">
        <f>IFERROR(VLOOKUP(D149,DATOS!E:F,2,0),"-")</f>
        <v>PROY1</v>
      </c>
      <c r="F149" s="72" t="s">
        <v>178</v>
      </c>
      <c r="G149" s="73" t="str">
        <f>IFERROR(VLOOKUP(F149,DATOS!G:H,2,0),"-")</f>
        <v>C_3399_1603_6_20302D_3399016</v>
      </c>
      <c r="H149" s="72" t="s">
        <v>189</v>
      </c>
      <c r="I149" s="79" t="s">
        <v>711</v>
      </c>
      <c r="J149" s="72" t="s">
        <v>164</v>
      </c>
      <c r="K149" s="79">
        <v>4</v>
      </c>
      <c r="L149" s="76">
        <f t="shared" si="43"/>
        <v>397562092</v>
      </c>
      <c r="M149" s="79">
        <v>1</v>
      </c>
      <c r="N149" s="192">
        <f t="shared" si="44"/>
        <v>1590248368</v>
      </c>
      <c r="O149" s="87">
        <v>0</v>
      </c>
      <c r="P149" s="87">
        <f>1598248368-8000000</f>
        <v>1590248368</v>
      </c>
      <c r="Q149" s="87">
        <v>0</v>
      </c>
      <c r="R149" s="87">
        <v>0</v>
      </c>
      <c r="S149" s="150">
        <f>IF(D149="","-",VLOOKUP(D149,DATOS!$B$47:$C$48,2,0)-SUMIFS(P$2:P149,D$2:D149,D149))</f>
        <v>5919692133</v>
      </c>
      <c r="T149" s="150">
        <f>IF(D149="","-",VLOOKUP(D149,DATOS!$B$47:$D$48,3,0)-SUMIFS(Q$2:Q149,D$2:D149,D149))</f>
        <v>380000001</v>
      </c>
      <c r="U149" s="150">
        <f>IF(D149="","-",VLOOKUP(D149,DATOS!$B$47:$E$48,4,0)-SUMIFS(R$2:R149,D$2:D149,D149))</f>
        <v>127856486</v>
      </c>
      <c r="V149" s="150">
        <f>IF(H149="","-",VLOOKUP(H149,DATOS!$D$52:$E$75,2,0)-SUMIFS(N$2:N149,H$2:H149,H149))</f>
        <v>6025006764</v>
      </c>
      <c r="W149" s="79"/>
      <c r="X149" s="79"/>
      <c r="Y149" s="79" t="s">
        <v>733</v>
      </c>
      <c r="Z149" s="166" t="str">
        <f t="shared" si="47"/>
        <v>Adelantar la obra para el montaje del montaje módulo 8 fase 1, en la Sede Funza del Archivo General de la Nación Jorge Palacios Preciado GSA5</v>
      </c>
      <c r="AA149" s="72" t="s">
        <v>280</v>
      </c>
      <c r="AB149" s="72" t="s">
        <v>298</v>
      </c>
      <c r="AC149" s="71">
        <v>4</v>
      </c>
      <c r="AD149" s="71" t="s">
        <v>271</v>
      </c>
      <c r="AE149" s="72" t="str">
        <f t="shared" si="48"/>
        <v>Licitación pública</v>
      </c>
      <c r="AF149" s="72" t="str">
        <f t="shared" si="59"/>
        <v>Nación</v>
      </c>
      <c r="AG149" s="167">
        <f t="shared" si="60"/>
        <v>1590248368</v>
      </c>
      <c r="AH149" s="167">
        <f t="shared" si="49"/>
        <v>1590248368</v>
      </c>
      <c r="AI149" s="71" t="s">
        <v>272</v>
      </c>
      <c r="AJ149" s="71" t="s">
        <v>273</v>
      </c>
      <c r="AK149" s="72" t="s">
        <v>274</v>
      </c>
      <c r="AL149" s="71" t="s">
        <v>275</v>
      </c>
      <c r="AM149" s="79" t="s">
        <v>747</v>
      </c>
      <c r="AN149" s="79">
        <v>3282888</v>
      </c>
      <c r="AO149" s="169" t="s">
        <v>353</v>
      </c>
    </row>
    <row r="150" spans="1:41" ht="80.25" customHeight="1" x14ac:dyDescent="0.3">
      <c r="A150" s="79" t="s">
        <v>386</v>
      </c>
      <c r="B150" s="72" t="s">
        <v>163</v>
      </c>
      <c r="C150" s="72" t="s">
        <v>205</v>
      </c>
      <c r="D150" s="72" t="s">
        <v>224</v>
      </c>
      <c r="E150" s="73" t="str">
        <f>IFERROR(VLOOKUP(D150,DATOS!E:F,2,0),"-")</f>
        <v>PROY1</v>
      </c>
      <c r="F150" s="72" t="s">
        <v>178</v>
      </c>
      <c r="G150" s="73" t="str">
        <f>IFERROR(VLOOKUP(F150,DATOS!G:H,2,0),"-")</f>
        <v>C_3399_1603_6_20302D_3399016</v>
      </c>
      <c r="H150" s="72" t="s">
        <v>189</v>
      </c>
      <c r="I150" s="79" t="s">
        <v>712</v>
      </c>
      <c r="J150" s="72" t="s">
        <v>730</v>
      </c>
      <c r="K150" s="79">
        <v>4</v>
      </c>
      <c r="L150" s="76">
        <f t="shared" si="43"/>
        <v>27969346.5</v>
      </c>
      <c r="M150" s="79">
        <v>1</v>
      </c>
      <c r="N150" s="192">
        <f t="shared" si="44"/>
        <v>111877386</v>
      </c>
      <c r="O150" s="87">
        <v>0</v>
      </c>
      <c r="P150" s="87">
        <v>111877386</v>
      </c>
      <c r="Q150" s="87">
        <v>0</v>
      </c>
      <c r="R150" s="87">
        <v>0</v>
      </c>
      <c r="S150" s="150">
        <f>IF(D150="","-",VLOOKUP(D150,DATOS!$B$47:$C$48,2,0)-SUMIFS(P$2:P150,D$2:D150,D150))</f>
        <v>5807814747</v>
      </c>
      <c r="T150" s="150">
        <f>IF(D150="","-",VLOOKUP(D150,DATOS!$B$47:$D$48,3,0)-SUMIFS(Q$2:Q150,D$2:D150,D150))</f>
        <v>380000001</v>
      </c>
      <c r="U150" s="150">
        <f>IF(D150="","-",VLOOKUP(D150,DATOS!$B$47:$E$48,4,0)-SUMIFS(R$2:R150,D$2:D150,D150))</f>
        <v>127856486</v>
      </c>
      <c r="V150" s="150">
        <f>IF(H150="","-",VLOOKUP(H150,DATOS!$D$52:$E$75,2,0)-SUMIFS(N$2:N150,H$2:H150,H150))</f>
        <v>5913129378</v>
      </c>
      <c r="W150" s="79"/>
      <c r="X150" s="79"/>
      <c r="Y150" s="79" t="s">
        <v>734</v>
      </c>
      <c r="Z150" s="166" t="str">
        <f t="shared" si="47"/>
        <v>Interventoria montaje módulo 8 fase 1, en la Sede Funza del Archivo General de la Nación Jorge Palacios Preciado GSA6</v>
      </c>
      <c r="AA150" s="72" t="s">
        <v>280</v>
      </c>
      <c r="AB150" s="72" t="s">
        <v>298</v>
      </c>
      <c r="AC150" s="71">
        <v>4</v>
      </c>
      <c r="AD150" s="71" t="s">
        <v>271</v>
      </c>
      <c r="AE150" s="72" t="str">
        <f t="shared" si="48"/>
        <v>Concurso de méritos abierto</v>
      </c>
      <c r="AF150" s="72" t="str">
        <f t="shared" si="59"/>
        <v>Nación</v>
      </c>
      <c r="AG150" s="167">
        <f t="shared" si="60"/>
        <v>111877386</v>
      </c>
      <c r="AH150" s="167">
        <f t="shared" si="49"/>
        <v>111877386</v>
      </c>
      <c r="AI150" s="71" t="s">
        <v>272</v>
      </c>
      <c r="AJ150" s="71" t="s">
        <v>273</v>
      </c>
      <c r="AK150" s="72" t="s">
        <v>274</v>
      </c>
      <c r="AL150" s="71" t="s">
        <v>275</v>
      </c>
      <c r="AM150" s="79" t="s">
        <v>747</v>
      </c>
      <c r="AN150" s="79">
        <v>3282888</v>
      </c>
      <c r="AO150" s="169" t="s">
        <v>353</v>
      </c>
    </row>
    <row r="151" spans="1:41" ht="78.75" customHeight="1" x14ac:dyDescent="0.3">
      <c r="A151" s="79" t="s">
        <v>690</v>
      </c>
      <c r="B151" s="72" t="s">
        <v>163</v>
      </c>
      <c r="C151" s="72" t="s">
        <v>205</v>
      </c>
      <c r="D151" s="72" t="s">
        <v>224</v>
      </c>
      <c r="E151" s="73" t="str">
        <f>IFERROR(VLOOKUP(D151,DATOS!E:F,2,0),"-")</f>
        <v>PROY1</v>
      </c>
      <c r="F151" s="72" t="s">
        <v>178</v>
      </c>
      <c r="G151" s="73" t="str">
        <f>IFERROR(VLOOKUP(F151,DATOS!G:H,2,0),"-")</f>
        <v>C_3399_1603_6_20302D_3399016</v>
      </c>
      <c r="H151" s="72" t="s">
        <v>189</v>
      </c>
      <c r="I151" s="79" t="s">
        <v>713</v>
      </c>
      <c r="J151" s="72" t="s">
        <v>171</v>
      </c>
      <c r="K151" s="79">
        <v>4</v>
      </c>
      <c r="L151" s="76">
        <f t="shared" si="43"/>
        <v>25000000</v>
      </c>
      <c r="M151" s="79">
        <v>1</v>
      </c>
      <c r="N151" s="192">
        <f t="shared" si="44"/>
        <v>100000000</v>
      </c>
      <c r="O151" s="87">
        <v>0</v>
      </c>
      <c r="P151" s="87">
        <v>100000000</v>
      </c>
      <c r="Q151" s="87">
        <v>0</v>
      </c>
      <c r="R151" s="87">
        <v>0</v>
      </c>
      <c r="S151" s="150">
        <f>IF(D151="","-",VLOOKUP(D151,DATOS!$B$47:$C$48,2,0)-SUMIFS(P$2:P151,D$2:D151,D151))</f>
        <v>5707814747</v>
      </c>
      <c r="T151" s="150">
        <f>IF(D151="","-",VLOOKUP(D151,DATOS!$B$47:$D$48,3,0)-SUMIFS(Q$2:Q151,D$2:D151,D151))</f>
        <v>380000001</v>
      </c>
      <c r="U151" s="150">
        <f>IF(D151="","-",VLOOKUP(D151,DATOS!$B$47:$E$48,4,0)-SUMIFS(R$2:R151,D$2:D151,D151))</f>
        <v>127856486</v>
      </c>
      <c r="V151" s="150">
        <f>IF(H151="","-",VLOOKUP(H151,DATOS!$D$52:$E$75,2,0)-SUMIFS(N$2:N151,H$2:H151,H151))</f>
        <v>5813129378</v>
      </c>
      <c r="W151" s="79"/>
      <c r="X151" s="79"/>
      <c r="Y151" s="79" t="s">
        <v>735</v>
      </c>
      <c r="Z151" s="166" t="str">
        <f t="shared" si="47"/>
        <v>Mantenimientos preventivos y correctivos de los elementos arquitectónicos de las instalaciones del Archivo General de la Nación GSA7</v>
      </c>
      <c r="AA151" s="72" t="s">
        <v>277</v>
      </c>
      <c r="AB151" s="72" t="s">
        <v>279</v>
      </c>
      <c r="AC151" s="71">
        <v>4</v>
      </c>
      <c r="AD151" s="71" t="s">
        <v>271</v>
      </c>
      <c r="AE151" s="72" t="str">
        <f t="shared" si="48"/>
        <v>Selección abreviada de menor cuantía</v>
      </c>
      <c r="AF151" s="72" t="str">
        <f t="shared" si="59"/>
        <v>Nación</v>
      </c>
      <c r="AG151" s="167">
        <f t="shared" si="60"/>
        <v>100000000</v>
      </c>
      <c r="AH151" s="167">
        <f t="shared" si="49"/>
        <v>100000000</v>
      </c>
      <c r="AI151" s="71" t="s">
        <v>272</v>
      </c>
      <c r="AJ151" s="71" t="s">
        <v>273</v>
      </c>
      <c r="AK151" s="72" t="s">
        <v>274</v>
      </c>
      <c r="AL151" s="71" t="s">
        <v>275</v>
      </c>
      <c r="AM151" s="79" t="s">
        <v>747</v>
      </c>
      <c r="AN151" s="79">
        <v>3282888</v>
      </c>
      <c r="AO151" s="169" t="s">
        <v>353</v>
      </c>
    </row>
    <row r="152" spans="1:41" ht="82.5" customHeight="1" x14ac:dyDescent="0.3">
      <c r="A152" s="79" t="s">
        <v>691</v>
      </c>
      <c r="B152" s="72" t="s">
        <v>163</v>
      </c>
      <c r="C152" s="72" t="s">
        <v>205</v>
      </c>
      <c r="D152" s="72" t="s">
        <v>224</v>
      </c>
      <c r="E152" s="73" t="str">
        <f>IFERROR(VLOOKUP(D152,DATOS!E:F,2,0),"-")</f>
        <v>PROY1</v>
      </c>
      <c r="F152" s="72" t="s">
        <v>178</v>
      </c>
      <c r="G152" s="73" t="str">
        <f>IFERROR(VLOOKUP(F152,DATOS!G:H,2,0),"-")</f>
        <v>C_3399_1603_6_20302D_3399016</v>
      </c>
      <c r="H152" s="72" t="s">
        <v>189</v>
      </c>
      <c r="I152" s="79" t="s">
        <v>714</v>
      </c>
      <c r="J152" s="72" t="s">
        <v>171</v>
      </c>
      <c r="K152" s="79">
        <v>9</v>
      </c>
      <c r="L152" s="76">
        <f t="shared" si="43"/>
        <v>14295662.777777778</v>
      </c>
      <c r="M152" s="79">
        <v>1</v>
      </c>
      <c r="N152" s="192">
        <f t="shared" si="44"/>
        <v>128660965</v>
      </c>
      <c r="O152" s="87">
        <v>0</v>
      </c>
      <c r="P152" s="87">
        <v>126272891</v>
      </c>
      <c r="Q152" s="87">
        <v>0</v>
      </c>
      <c r="R152" s="87">
        <v>2388074</v>
      </c>
      <c r="S152" s="150">
        <f>IF(D152="","-",VLOOKUP(D152,DATOS!$B$47:$C$48,2,0)-SUMIFS(P$2:P152,D$2:D152,D152))</f>
        <v>5581541856</v>
      </c>
      <c r="T152" s="150">
        <f>IF(D152="","-",VLOOKUP(D152,DATOS!$B$47:$D$48,3,0)-SUMIFS(Q$2:Q152,D$2:D152,D152))</f>
        <v>380000001</v>
      </c>
      <c r="U152" s="150">
        <f>IF(D152="","-",VLOOKUP(D152,DATOS!$B$47:$E$48,4,0)-SUMIFS(R$2:R152,D$2:D152,D152))</f>
        <v>125468412</v>
      </c>
      <c r="V152" s="150">
        <f>IF(H152="","-",VLOOKUP(H152,DATOS!$D$52:$E$75,2,0)-SUMIFS(N$2:N152,H$2:H152,H152))</f>
        <v>5684468413</v>
      </c>
      <c r="W152" s="79"/>
      <c r="X152" s="79"/>
      <c r="Y152" s="79" t="s">
        <v>736</v>
      </c>
      <c r="Z152" s="166" t="str">
        <f t="shared" ref="Z152:Z176" si="61">IF(I152="","",I152)</f>
        <v>Mantenimientos preventivos y correctivos del sistema eléctrico de las instalaciones del Archivo General de la Nación GSA8</v>
      </c>
      <c r="AA152" s="72" t="s">
        <v>278</v>
      </c>
      <c r="AB152" s="72" t="s">
        <v>277</v>
      </c>
      <c r="AC152" s="71">
        <v>9</v>
      </c>
      <c r="AD152" s="71" t="s">
        <v>271</v>
      </c>
      <c r="AE152" s="72" t="str">
        <f t="shared" ref="AE152:AE183" si="62">IF(J152="","",J152)</f>
        <v>Selección abreviada de menor cuantía</v>
      </c>
      <c r="AF152" s="72" t="str">
        <f t="shared" si="59"/>
        <v>Nación</v>
      </c>
      <c r="AG152" s="167">
        <f t="shared" si="60"/>
        <v>128660965</v>
      </c>
      <c r="AH152" s="167">
        <f t="shared" ref="AH152:AH176" si="63">IF(N152="","",N152)</f>
        <v>128660965</v>
      </c>
      <c r="AI152" s="71" t="s">
        <v>272</v>
      </c>
      <c r="AJ152" s="71" t="s">
        <v>273</v>
      </c>
      <c r="AK152" s="72" t="s">
        <v>274</v>
      </c>
      <c r="AL152" s="71" t="s">
        <v>275</v>
      </c>
      <c r="AM152" s="79" t="s">
        <v>747</v>
      </c>
      <c r="AN152" s="79">
        <v>3282888</v>
      </c>
      <c r="AO152" s="169" t="s">
        <v>353</v>
      </c>
    </row>
    <row r="153" spans="1:41" ht="81.75" customHeight="1" x14ac:dyDescent="0.3">
      <c r="A153" s="79" t="s">
        <v>692</v>
      </c>
      <c r="B153" s="72" t="s">
        <v>163</v>
      </c>
      <c r="C153" s="72" t="s">
        <v>205</v>
      </c>
      <c r="D153" s="72" t="s">
        <v>224</v>
      </c>
      <c r="E153" s="73" t="str">
        <f>IFERROR(VLOOKUP(D153,DATOS!E:F,2,0),"-")</f>
        <v>PROY1</v>
      </c>
      <c r="F153" s="72" t="s">
        <v>178</v>
      </c>
      <c r="G153" s="73" t="str">
        <f>IFERROR(VLOOKUP(F153,DATOS!G:H,2,0),"-")</f>
        <v>C_3399_1603_6_20302D_3399016</v>
      </c>
      <c r="H153" s="72" t="s">
        <v>189</v>
      </c>
      <c r="I153" s="79" t="s">
        <v>715</v>
      </c>
      <c r="J153" s="72" t="s">
        <v>171</v>
      </c>
      <c r="K153" s="79">
        <v>9</v>
      </c>
      <c r="L153" s="76">
        <f t="shared" si="43"/>
        <v>8663705.444444444</v>
      </c>
      <c r="M153" s="79">
        <v>1</v>
      </c>
      <c r="N153" s="192">
        <f t="shared" si="44"/>
        <v>77973349</v>
      </c>
      <c r="O153" s="87">
        <v>0</v>
      </c>
      <c r="P153" s="87">
        <v>0</v>
      </c>
      <c r="Q153" s="87">
        <f>6528950+1</f>
        <v>6528951</v>
      </c>
      <c r="R153" s="87">
        <f>71444399-1</f>
        <v>71444398</v>
      </c>
      <c r="S153" s="150">
        <f>IF(D153="","-",VLOOKUP(D153,DATOS!$B$47:$C$48,2,0)-SUMIFS(P$2:P153,D$2:D153,D153))</f>
        <v>5581541856</v>
      </c>
      <c r="T153" s="150">
        <f>IF(D153="","-",VLOOKUP(D153,DATOS!$B$47:$D$48,3,0)-SUMIFS(Q$2:Q153,D$2:D153,D153))</f>
        <v>373471050</v>
      </c>
      <c r="U153" s="150">
        <f>IF(D153="","-",VLOOKUP(D153,DATOS!$B$47:$E$48,4,0)-SUMIFS(R$2:R153,D$2:D153,D153))</f>
        <v>54024014</v>
      </c>
      <c r="V153" s="150">
        <f>IF(H153="","-",VLOOKUP(H153,DATOS!$D$52:$E$75,2,0)-SUMIFS(N$2:N153,H$2:H153,H153))</f>
        <v>5606495064</v>
      </c>
      <c r="W153" s="79"/>
      <c r="X153" s="79"/>
      <c r="Y153" s="79" t="s">
        <v>737</v>
      </c>
      <c r="Z153" s="166" t="str">
        <f t="shared" si="61"/>
        <v>Mantenimientos preventivos y correctivos del sistema hidráulico de las instalaciones del Archivo General de la Nación GSA9</v>
      </c>
      <c r="AA153" s="72" t="s">
        <v>278</v>
      </c>
      <c r="AB153" s="72" t="s">
        <v>277</v>
      </c>
      <c r="AC153" s="71">
        <v>9</v>
      </c>
      <c r="AD153" s="71" t="s">
        <v>271</v>
      </c>
      <c r="AE153" s="72" t="str">
        <f t="shared" si="62"/>
        <v>Selección abreviada de menor cuantía</v>
      </c>
      <c r="AF153" s="72" t="str">
        <f t="shared" si="59"/>
        <v>Propios</v>
      </c>
      <c r="AG153" s="167">
        <f t="shared" si="60"/>
        <v>77973349</v>
      </c>
      <c r="AH153" s="167">
        <f t="shared" si="63"/>
        <v>77973349</v>
      </c>
      <c r="AI153" s="71" t="s">
        <v>272</v>
      </c>
      <c r="AJ153" s="71" t="s">
        <v>273</v>
      </c>
      <c r="AK153" s="72" t="s">
        <v>274</v>
      </c>
      <c r="AL153" s="71" t="s">
        <v>275</v>
      </c>
      <c r="AM153" s="79" t="s">
        <v>747</v>
      </c>
      <c r="AN153" s="79">
        <v>3282888</v>
      </c>
      <c r="AO153" s="169" t="s">
        <v>353</v>
      </c>
    </row>
    <row r="154" spans="1:41" ht="84.75" customHeight="1" x14ac:dyDescent="0.3">
      <c r="A154" s="79" t="s">
        <v>693</v>
      </c>
      <c r="B154" s="72" t="s">
        <v>163</v>
      </c>
      <c r="C154" s="72" t="s">
        <v>205</v>
      </c>
      <c r="D154" s="72" t="s">
        <v>224</v>
      </c>
      <c r="E154" s="73" t="str">
        <f>IFERROR(VLOOKUP(D154,DATOS!E:F,2,0),"-")</f>
        <v>PROY1</v>
      </c>
      <c r="F154" s="72" t="s">
        <v>178</v>
      </c>
      <c r="G154" s="73" t="str">
        <f>IFERROR(VLOOKUP(F154,DATOS!G:H,2,0),"-")</f>
        <v>C_3399_1603_6_20302D_3399016</v>
      </c>
      <c r="H154" s="72" t="s">
        <v>189</v>
      </c>
      <c r="I154" s="79" t="s">
        <v>716</v>
      </c>
      <c r="J154" s="72" t="s">
        <v>171</v>
      </c>
      <c r="K154" s="79">
        <v>9</v>
      </c>
      <c r="L154" s="76">
        <f t="shared" si="43"/>
        <v>12266808.111111112</v>
      </c>
      <c r="M154" s="79">
        <v>1</v>
      </c>
      <c r="N154" s="192">
        <f t="shared" si="44"/>
        <v>110401273</v>
      </c>
      <c r="O154" s="87">
        <v>0</v>
      </c>
      <c r="P154" s="87">
        <v>0</v>
      </c>
      <c r="Q154" s="87">
        <v>110401273</v>
      </c>
      <c r="R154" s="87">
        <v>0</v>
      </c>
      <c r="S154" s="150">
        <f>IF(D154="","-",VLOOKUP(D154,DATOS!$B$47:$C$48,2,0)-SUMIFS(P$2:P154,D$2:D154,D154))</f>
        <v>5581541856</v>
      </c>
      <c r="T154" s="150">
        <f>IF(D154="","-",VLOOKUP(D154,DATOS!$B$47:$D$48,3,0)-SUMIFS(Q$2:Q154,D$2:D154,D154))</f>
        <v>263069777</v>
      </c>
      <c r="U154" s="150">
        <f>IF(D154="","-",VLOOKUP(D154,DATOS!$B$47:$E$48,4,0)-SUMIFS(R$2:R154,D$2:D154,D154))</f>
        <v>54024014</v>
      </c>
      <c r="V154" s="150">
        <f>IF(H154="","-",VLOOKUP(H154,DATOS!$D$52:$E$75,2,0)-SUMIFS(N$2:N154,H$2:H154,H154))</f>
        <v>5496093791</v>
      </c>
      <c r="W154" s="79"/>
      <c r="X154" s="79"/>
      <c r="Y154" s="79" t="s">
        <v>737</v>
      </c>
      <c r="Z154" s="166" t="str">
        <f t="shared" si="61"/>
        <v>Mantenimientos preventivos y correctivos del sistema de ventilación y control ambiental de las instalaciones del Archivo General de la Nación GSA10</v>
      </c>
      <c r="AA154" s="72" t="s">
        <v>278</v>
      </c>
      <c r="AB154" s="72" t="s">
        <v>277</v>
      </c>
      <c r="AC154" s="71">
        <v>9</v>
      </c>
      <c r="AD154" s="71" t="s">
        <v>271</v>
      </c>
      <c r="AE154" s="72" t="str">
        <f t="shared" si="62"/>
        <v>Selección abreviada de menor cuantía</v>
      </c>
      <c r="AF154" s="72" t="str">
        <f t="shared" si="59"/>
        <v>Propios</v>
      </c>
      <c r="AG154" s="167">
        <f t="shared" si="60"/>
        <v>110401273</v>
      </c>
      <c r="AH154" s="167">
        <f t="shared" si="63"/>
        <v>110401273</v>
      </c>
      <c r="AI154" s="71" t="s">
        <v>272</v>
      </c>
      <c r="AJ154" s="71" t="s">
        <v>273</v>
      </c>
      <c r="AK154" s="72" t="s">
        <v>274</v>
      </c>
      <c r="AL154" s="71" t="s">
        <v>275</v>
      </c>
      <c r="AM154" s="79" t="s">
        <v>747</v>
      </c>
      <c r="AN154" s="79">
        <v>3282888</v>
      </c>
      <c r="AO154" s="169" t="s">
        <v>353</v>
      </c>
    </row>
    <row r="155" spans="1:41" ht="83.25" customHeight="1" x14ac:dyDescent="0.3">
      <c r="A155" s="79" t="s">
        <v>694</v>
      </c>
      <c r="B155" s="72" t="s">
        <v>163</v>
      </c>
      <c r="C155" s="72" t="s">
        <v>205</v>
      </c>
      <c r="D155" s="72" t="s">
        <v>224</v>
      </c>
      <c r="E155" s="73" t="str">
        <f>IFERROR(VLOOKUP(D155,DATOS!E:F,2,0),"-")</f>
        <v>PROY1</v>
      </c>
      <c r="F155" s="72" t="s">
        <v>178</v>
      </c>
      <c r="G155" s="73" t="str">
        <f>IFERROR(VLOOKUP(F155,DATOS!G:H,2,0),"-")</f>
        <v>C_3399_1603_6_20302D_3399016</v>
      </c>
      <c r="H155" s="72" t="s">
        <v>189</v>
      </c>
      <c r="I155" s="79" t="s">
        <v>717</v>
      </c>
      <c r="J155" s="72" t="s">
        <v>171</v>
      </c>
      <c r="K155" s="79">
        <v>9</v>
      </c>
      <c r="L155" s="76">
        <f t="shared" ref="L155:L175" si="64">(N155/M155)/K155</f>
        <v>12563308.555555556</v>
      </c>
      <c r="M155" s="79">
        <v>1</v>
      </c>
      <c r="N155" s="192">
        <f t="shared" si="44"/>
        <v>113069777</v>
      </c>
      <c r="O155" s="87">
        <v>0</v>
      </c>
      <c r="P155" s="87">
        <v>0</v>
      </c>
      <c r="Q155" s="87">
        <v>113069777</v>
      </c>
      <c r="R155" s="87">
        <v>0</v>
      </c>
      <c r="S155" s="150">
        <f>IF(D155="","-",VLOOKUP(D155,DATOS!$B$47:$C$48,2,0)-SUMIFS(P$2:P155,D$2:D155,D155))</f>
        <v>5581541856</v>
      </c>
      <c r="T155" s="150">
        <f>IF(D155="","-",VLOOKUP(D155,DATOS!$B$47:$D$48,3,0)-SUMIFS(Q$2:Q155,D$2:D155,D155))</f>
        <v>150000000</v>
      </c>
      <c r="U155" s="150">
        <f>IF(D155="","-",VLOOKUP(D155,DATOS!$B$47:$E$48,4,0)-SUMIFS(R$2:R155,D$2:D155,D155))</f>
        <v>54024014</v>
      </c>
      <c r="V155" s="150">
        <f>IF(H155="","-",VLOOKUP(H155,DATOS!$D$52:$E$75,2,0)-SUMIFS(N$2:N155,H$2:H155,H155))</f>
        <v>5383024014</v>
      </c>
      <c r="W155" s="79"/>
      <c r="X155" s="79"/>
      <c r="Y155" s="79" t="s">
        <v>738</v>
      </c>
      <c r="Z155" s="166" t="str">
        <f t="shared" si="61"/>
        <v>Mantenimientos preventivos y correctivos del sistema de detección de incendios y control de accesos de las instalaciones del Archivo General de la Nación GSA11</v>
      </c>
      <c r="AA155" s="72" t="s">
        <v>278</v>
      </c>
      <c r="AB155" s="72" t="s">
        <v>277</v>
      </c>
      <c r="AC155" s="71">
        <v>9</v>
      </c>
      <c r="AD155" s="71" t="s">
        <v>271</v>
      </c>
      <c r="AE155" s="72" t="str">
        <f t="shared" si="62"/>
        <v>Selección abreviada de menor cuantía</v>
      </c>
      <c r="AF155" s="72" t="str">
        <f t="shared" si="59"/>
        <v>Propios</v>
      </c>
      <c r="AG155" s="167">
        <f t="shared" si="60"/>
        <v>113069777</v>
      </c>
      <c r="AH155" s="167">
        <f t="shared" si="63"/>
        <v>113069777</v>
      </c>
      <c r="AI155" s="71" t="s">
        <v>272</v>
      </c>
      <c r="AJ155" s="71" t="s">
        <v>273</v>
      </c>
      <c r="AK155" s="72" t="s">
        <v>274</v>
      </c>
      <c r="AL155" s="71" t="s">
        <v>275</v>
      </c>
      <c r="AM155" s="79" t="s">
        <v>747</v>
      </c>
      <c r="AN155" s="79">
        <v>3282888</v>
      </c>
      <c r="AO155" s="169" t="s">
        <v>353</v>
      </c>
    </row>
    <row r="156" spans="1:41" ht="85.5" customHeight="1" x14ac:dyDescent="0.3">
      <c r="A156" s="79" t="s">
        <v>695</v>
      </c>
      <c r="B156" s="72" t="s">
        <v>163</v>
      </c>
      <c r="C156" s="72" t="s">
        <v>205</v>
      </c>
      <c r="D156" s="72" t="s">
        <v>224</v>
      </c>
      <c r="E156" s="73" t="str">
        <f>IFERROR(VLOOKUP(D156,DATOS!E:F,2,0),"-")</f>
        <v>PROY1</v>
      </c>
      <c r="F156" s="72" t="s">
        <v>178</v>
      </c>
      <c r="G156" s="73" t="str">
        <f>IFERROR(VLOOKUP(F156,DATOS!G:H,2,0),"-")</f>
        <v>C_3399_1603_6_20302D_3399016</v>
      </c>
      <c r="H156" s="72" t="s">
        <v>189</v>
      </c>
      <c r="I156" s="79" t="s">
        <v>718</v>
      </c>
      <c r="J156" s="72" t="s">
        <v>167</v>
      </c>
      <c r="K156" s="79">
        <v>11</v>
      </c>
      <c r="L156" s="76">
        <f t="shared" si="64"/>
        <v>663255.18181818177</v>
      </c>
      <c r="M156" s="79">
        <v>1</v>
      </c>
      <c r="N156" s="192">
        <f t="shared" ref="N156:N175" si="65">IF(SUM(O156:R156)=0,"-",SUM(O156:R156))</f>
        <v>7295807</v>
      </c>
      <c r="O156" s="87">
        <v>0</v>
      </c>
      <c r="P156" s="87">
        <v>0</v>
      </c>
      <c r="Q156" s="87">
        <v>0</v>
      </c>
      <c r="R156" s="87">
        <v>7295807</v>
      </c>
      <c r="S156" s="150">
        <f>IF(D156="","-",VLOOKUP(D156,DATOS!$B$47:$C$48,2,0)-SUMIFS(P$2:P156,D$2:D156,D156))</f>
        <v>5581541856</v>
      </c>
      <c r="T156" s="150">
        <f>IF(D156="","-",VLOOKUP(D156,DATOS!$B$47:$D$48,3,0)-SUMIFS(Q$2:Q156,D$2:D156,D156))</f>
        <v>150000000</v>
      </c>
      <c r="U156" s="150">
        <f>IF(D156="","-",VLOOKUP(D156,DATOS!$B$47:$E$48,4,0)-SUMIFS(R$2:R156,D$2:D156,D156))</f>
        <v>46728207</v>
      </c>
      <c r="V156" s="150">
        <f>IF(H156="","-",VLOOKUP(H156,DATOS!$D$52:$E$75,2,0)-SUMIFS(N$2:N156,H$2:H156,H156))</f>
        <v>5375728207</v>
      </c>
      <c r="W156" s="79"/>
      <c r="X156" s="79"/>
      <c r="Y156" s="79" t="s">
        <v>739</v>
      </c>
      <c r="Z156" s="166" t="str">
        <f t="shared" si="61"/>
        <v>Mantenimientos preventivos y correctivos garaventa Sede Centro y Ascensor Sede Funza, equipos basculantes y brazos eléctricos de las instalaciones del Archivo General de la Nación GSA12</v>
      </c>
      <c r="AA156" s="72" t="s">
        <v>292</v>
      </c>
      <c r="AB156" s="72" t="s">
        <v>278</v>
      </c>
      <c r="AC156" s="71">
        <v>11</v>
      </c>
      <c r="AD156" s="71" t="s">
        <v>271</v>
      </c>
      <c r="AE156" s="72" t="str">
        <f t="shared" si="62"/>
        <v>Mínima cuantía</v>
      </c>
      <c r="AF156" s="72" t="str">
        <f t="shared" si="59"/>
        <v>Propios</v>
      </c>
      <c r="AG156" s="167">
        <f t="shared" si="60"/>
        <v>7295807</v>
      </c>
      <c r="AH156" s="167">
        <f t="shared" si="63"/>
        <v>7295807</v>
      </c>
      <c r="AI156" s="71" t="s">
        <v>272</v>
      </c>
      <c r="AJ156" s="71" t="s">
        <v>273</v>
      </c>
      <c r="AK156" s="72" t="s">
        <v>274</v>
      </c>
      <c r="AL156" s="71" t="s">
        <v>275</v>
      </c>
      <c r="AM156" s="79" t="s">
        <v>747</v>
      </c>
      <c r="AN156" s="79">
        <v>3282888</v>
      </c>
      <c r="AO156" s="169" t="s">
        <v>353</v>
      </c>
    </row>
    <row r="157" spans="1:41" ht="97.5" customHeight="1" x14ac:dyDescent="0.3">
      <c r="A157" s="79" t="s">
        <v>696</v>
      </c>
      <c r="B157" s="72" t="s">
        <v>163</v>
      </c>
      <c r="C157" s="72" t="s">
        <v>205</v>
      </c>
      <c r="D157" s="72" t="s">
        <v>224</v>
      </c>
      <c r="E157" s="73" t="str">
        <f>IFERROR(VLOOKUP(D157,DATOS!E:F,2,0),"-")</f>
        <v>PROY1</v>
      </c>
      <c r="F157" s="72" t="s">
        <v>178</v>
      </c>
      <c r="G157" s="73" t="str">
        <f>IFERROR(VLOOKUP(F157,DATOS!G:H,2,0),"-")</f>
        <v>C_3399_1603_6_20302D_3399016</v>
      </c>
      <c r="H157" s="72" t="s">
        <v>189</v>
      </c>
      <c r="I157" s="79" t="s">
        <v>719</v>
      </c>
      <c r="J157" s="72" t="s">
        <v>162</v>
      </c>
      <c r="K157" s="79">
        <v>11</v>
      </c>
      <c r="L157" s="76">
        <f t="shared" si="64"/>
        <v>3816581.8181818184</v>
      </c>
      <c r="M157" s="79">
        <v>1</v>
      </c>
      <c r="N157" s="192">
        <f t="shared" si="65"/>
        <v>41982400</v>
      </c>
      <c r="O157" s="87">
        <v>0</v>
      </c>
      <c r="P157" s="87">
        <v>0</v>
      </c>
      <c r="Q157" s="87">
        <v>0</v>
      </c>
      <c r="R157" s="87">
        <v>41982400</v>
      </c>
      <c r="S157" s="150">
        <f>IF(D157="","-",VLOOKUP(D157,DATOS!$B$47:$C$48,2,0)-SUMIFS(P$2:P157,D$2:D157,D157))</f>
        <v>5581541856</v>
      </c>
      <c r="T157" s="150">
        <f>IF(D157="","-",VLOOKUP(D157,DATOS!$B$47:$D$48,3,0)-SUMIFS(Q$2:Q157,D$2:D157,D157))</f>
        <v>150000000</v>
      </c>
      <c r="U157" s="150">
        <f>IF(D157="","-",VLOOKUP(D157,DATOS!$B$47:$E$48,4,0)-SUMIFS(R$2:R157,D$2:D157,D157))</f>
        <v>4745807</v>
      </c>
      <c r="V157" s="150">
        <f>IF(H157="","-",VLOOKUP(H157,DATOS!$D$52:$E$75,2,0)-SUMIFS(N$2:N157,H$2:H157,H157))</f>
        <v>5333745807</v>
      </c>
      <c r="W157" s="79"/>
      <c r="X157" s="79"/>
      <c r="Y157" s="79" t="s">
        <v>740</v>
      </c>
      <c r="Z157" s="166" t="str">
        <f t="shared" si="61"/>
        <v>Realizar el mantenimiento de ascensores, montacargas, montalibros y montaplatos marca OTIS GSA13</v>
      </c>
      <c r="AA157" s="72" t="s">
        <v>292</v>
      </c>
      <c r="AB157" s="72" t="s">
        <v>278</v>
      </c>
      <c r="AC157" s="71">
        <v>11</v>
      </c>
      <c r="AD157" s="71" t="s">
        <v>271</v>
      </c>
      <c r="AE157" s="82" t="str">
        <f t="shared" si="62"/>
        <v>Contratación directa (con ofertas)</v>
      </c>
      <c r="AF157" s="72" t="str">
        <f t="shared" si="59"/>
        <v>Propios</v>
      </c>
      <c r="AG157" s="167">
        <f t="shared" si="60"/>
        <v>41982400</v>
      </c>
      <c r="AH157" s="167">
        <f t="shared" si="63"/>
        <v>41982400</v>
      </c>
      <c r="AI157" s="71" t="s">
        <v>272</v>
      </c>
      <c r="AJ157" s="71" t="s">
        <v>273</v>
      </c>
      <c r="AK157" s="72" t="s">
        <v>274</v>
      </c>
      <c r="AL157" s="71" t="s">
        <v>275</v>
      </c>
      <c r="AM157" s="79" t="s">
        <v>747</v>
      </c>
      <c r="AN157" s="79">
        <v>3282888</v>
      </c>
      <c r="AO157" s="169" t="s">
        <v>353</v>
      </c>
    </row>
    <row r="158" spans="1:41" ht="88.5" customHeight="1" x14ac:dyDescent="0.3">
      <c r="A158" s="79" t="s">
        <v>697</v>
      </c>
      <c r="B158" s="72" t="s">
        <v>163</v>
      </c>
      <c r="C158" s="72" t="s">
        <v>205</v>
      </c>
      <c r="D158" s="72" t="s">
        <v>224</v>
      </c>
      <c r="E158" s="73" t="str">
        <f>IFERROR(VLOOKUP(D158,DATOS!E:F,2,0),"-")</f>
        <v>PROY1</v>
      </c>
      <c r="F158" s="72" t="s">
        <v>178</v>
      </c>
      <c r="G158" s="73" t="str">
        <f>IFERROR(VLOOKUP(F158,DATOS!G:H,2,0),"-")</f>
        <v>C_3399_1603_6_20302D_3399016</v>
      </c>
      <c r="H158" s="72" t="s">
        <v>189</v>
      </c>
      <c r="I158" s="91" t="s">
        <v>720</v>
      </c>
      <c r="J158" s="72" t="s">
        <v>167</v>
      </c>
      <c r="K158" s="79">
        <v>2</v>
      </c>
      <c r="L158" s="76">
        <f t="shared" si="64"/>
        <v>617914.5</v>
      </c>
      <c r="M158" s="79">
        <v>1</v>
      </c>
      <c r="N158" s="192">
        <f t="shared" si="65"/>
        <v>1235829</v>
      </c>
      <c r="O158" s="87">
        <v>0</v>
      </c>
      <c r="P158" s="87">
        <v>0</v>
      </c>
      <c r="Q158" s="87">
        <v>0</v>
      </c>
      <c r="R158" s="87">
        <v>1235829</v>
      </c>
      <c r="S158" s="150">
        <f>IF(D158="","-",VLOOKUP(D158,DATOS!$B$47:$C$48,2,0)-SUMIFS(P$2:P158,D$2:D158,D158))</f>
        <v>5581541856</v>
      </c>
      <c r="T158" s="150">
        <f>IF(D158="","-",VLOOKUP(D158,DATOS!$B$47:$D$48,3,0)-SUMIFS(Q$2:Q158,D$2:D158,D158))</f>
        <v>150000000</v>
      </c>
      <c r="U158" s="150">
        <f>IF(D158="","-",VLOOKUP(D158,DATOS!$B$47:$E$48,4,0)-SUMIFS(R$2:R158,D$2:D158,D158))</f>
        <v>3509978</v>
      </c>
      <c r="V158" s="150">
        <f>IF(H158="","-",VLOOKUP(H158,DATOS!$D$52:$E$75,2,0)-SUMIFS(N$2:N158,H$2:H158,H158))</f>
        <v>5332509978</v>
      </c>
      <c r="W158" s="79"/>
      <c r="X158" s="79"/>
      <c r="Y158" s="79">
        <v>81141503</v>
      </c>
      <c r="Z158" s="166" t="str">
        <f t="shared" si="61"/>
        <v>Certificación de ascensores principales Sede Centro del Archivo General de la Nación en cumplimiento del Decreto 663 de 2011 de la Alcaldía Mayor de Bogotá GSA14</v>
      </c>
      <c r="AA158" s="72" t="s">
        <v>293</v>
      </c>
      <c r="AB158" s="72" t="s">
        <v>293</v>
      </c>
      <c r="AC158" s="71">
        <v>2</v>
      </c>
      <c r="AD158" s="71" t="s">
        <v>271</v>
      </c>
      <c r="AE158" s="72" t="str">
        <f t="shared" si="62"/>
        <v>Mínima cuantía</v>
      </c>
      <c r="AF158" s="72" t="str">
        <f t="shared" si="59"/>
        <v>Propios</v>
      </c>
      <c r="AG158" s="167">
        <f t="shared" si="60"/>
        <v>1235829</v>
      </c>
      <c r="AH158" s="167">
        <f t="shared" si="63"/>
        <v>1235829</v>
      </c>
      <c r="AI158" s="71" t="s">
        <v>272</v>
      </c>
      <c r="AJ158" s="71" t="s">
        <v>273</v>
      </c>
      <c r="AK158" s="72" t="s">
        <v>274</v>
      </c>
      <c r="AL158" s="71" t="s">
        <v>275</v>
      </c>
      <c r="AM158" s="79" t="s">
        <v>747</v>
      </c>
      <c r="AN158" s="79">
        <v>3282888</v>
      </c>
      <c r="AO158" s="169" t="s">
        <v>353</v>
      </c>
    </row>
    <row r="159" spans="1:41" ht="64.5" customHeight="1" x14ac:dyDescent="0.3">
      <c r="A159" s="79" t="s">
        <v>698</v>
      </c>
      <c r="B159" s="72" t="s">
        <v>163</v>
      </c>
      <c r="C159" s="72" t="s">
        <v>205</v>
      </c>
      <c r="D159" s="72" t="s">
        <v>224</v>
      </c>
      <c r="E159" s="73" t="str">
        <f>IFERROR(VLOOKUP(D159,DATOS!E:F,2,0),"-")</f>
        <v>PROY1</v>
      </c>
      <c r="F159" s="72" t="s">
        <v>178</v>
      </c>
      <c r="G159" s="73" t="str">
        <f>IFERROR(VLOOKUP(F159,DATOS!G:H,2,0),"-")</f>
        <v>C_3399_1603_6_20302D_3399016</v>
      </c>
      <c r="H159" s="72" t="s">
        <v>189</v>
      </c>
      <c r="I159" s="91" t="s">
        <v>721</v>
      </c>
      <c r="J159" s="72" t="s">
        <v>167</v>
      </c>
      <c r="K159" s="79">
        <v>1</v>
      </c>
      <c r="L159" s="76">
        <f t="shared" si="64"/>
        <v>3509978</v>
      </c>
      <c r="M159" s="79">
        <v>1</v>
      </c>
      <c r="N159" s="192">
        <f t="shared" si="65"/>
        <v>3509978</v>
      </c>
      <c r="O159" s="87">
        <v>0</v>
      </c>
      <c r="P159" s="87">
        <v>0</v>
      </c>
      <c r="Q159" s="87">
        <v>0</v>
      </c>
      <c r="R159" s="87">
        <v>3509978</v>
      </c>
      <c r="S159" s="150">
        <f>IF(D159="","-",VLOOKUP(D159,DATOS!$B$47:$C$48,2,0)-SUMIFS(P$2:P159,D$2:D159,D159))</f>
        <v>5581541856</v>
      </c>
      <c r="T159" s="150">
        <f>IF(D159="","-",VLOOKUP(D159,DATOS!$B$47:$D$48,3,0)-SUMIFS(Q$2:Q159,D$2:D159,D159))</f>
        <v>150000000</v>
      </c>
      <c r="U159" s="150">
        <f>IF(D159="","-",VLOOKUP(D159,DATOS!$B$47:$E$48,4,0)-SUMIFS(R$2:R159,D$2:D159,D159))</f>
        <v>0</v>
      </c>
      <c r="V159" s="150">
        <f>IF(H159="","-",VLOOKUP(H159,DATOS!$D$52:$E$75,2,0)-SUMIFS(N$2:N159,H$2:H159,H159))</f>
        <v>5329000000</v>
      </c>
      <c r="W159" s="79"/>
      <c r="X159" s="79"/>
      <c r="Y159" s="79">
        <v>77121701</v>
      </c>
      <c r="Z159" s="166" t="str">
        <f t="shared" si="61"/>
        <v>Servicio de caracterización de vertimientos GSA15</v>
      </c>
      <c r="AA159" s="72" t="s">
        <v>280</v>
      </c>
      <c r="AB159" s="72" t="s">
        <v>280</v>
      </c>
      <c r="AC159" s="71">
        <v>1</v>
      </c>
      <c r="AD159" s="71" t="s">
        <v>271</v>
      </c>
      <c r="AE159" s="72" t="str">
        <f t="shared" si="62"/>
        <v>Mínima cuantía</v>
      </c>
      <c r="AF159" s="72" t="str">
        <f t="shared" si="59"/>
        <v>Propios</v>
      </c>
      <c r="AG159" s="167">
        <f t="shared" si="60"/>
        <v>3509978</v>
      </c>
      <c r="AH159" s="167">
        <f t="shared" si="63"/>
        <v>3509978</v>
      </c>
      <c r="AI159" s="71" t="s">
        <v>272</v>
      </c>
      <c r="AJ159" s="71" t="s">
        <v>273</v>
      </c>
      <c r="AK159" s="72" t="s">
        <v>274</v>
      </c>
      <c r="AL159" s="71" t="s">
        <v>275</v>
      </c>
      <c r="AM159" s="79" t="s">
        <v>747</v>
      </c>
      <c r="AN159" s="79">
        <v>3282888</v>
      </c>
      <c r="AO159" s="169" t="s">
        <v>353</v>
      </c>
    </row>
    <row r="160" spans="1:41" ht="86.25" customHeight="1" x14ac:dyDescent="0.3">
      <c r="A160" s="79" t="s">
        <v>699</v>
      </c>
      <c r="B160" s="72" t="s">
        <v>163</v>
      </c>
      <c r="C160" s="72" t="s">
        <v>205</v>
      </c>
      <c r="D160" s="72" t="s">
        <v>224</v>
      </c>
      <c r="E160" s="73" t="str">
        <f>IFERROR(VLOOKUP(D160,DATOS!E:F,2,0),"-")</f>
        <v>PROY1</v>
      </c>
      <c r="F160" s="72" t="s">
        <v>178</v>
      </c>
      <c r="G160" s="73" t="str">
        <f>IFERROR(VLOOKUP(F160,DATOS!G:H,2,0),"-")</f>
        <v>C_3399_1603_6_20302D_3399016</v>
      </c>
      <c r="H160" s="72" t="s">
        <v>189</v>
      </c>
      <c r="I160" s="79" t="s">
        <v>722</v>
      </c>
      <c r="J160" s="72" t="s">
        <v>164</v>
      </c>
      <c r="K160" s="79">
        <v>3</v>
      </c>
      <c r="L160" s="76">
        <f t="shared" si="64"/>
        <v>216666666.66666666</v>
      </c>
      <c r="M160" s="79">
        <v>1</v>
      </c>
      <c r="N160" s="192">
        <f t="shared" si="65"/>
        <v>650000000</v>
      </c>
      <c r="O160" s="87">
        <v>0</v>
      </c>
      <c r="P160" s="87">
        <v>650000000</v>
      </c>
      <c r="Q160" s="87">
        <v>0</v>
      </c>
      <c r="R160" s="87">
        <v>0</v>
      </c>
      <c r="S160" s="150">
        <f>IF(D160="","-",VLOOKUP(D160,DATOS!$B$47:$C$48,2,0)-SUMIFS(P$2:P160,D$2:D160,D160))</f>
        <v>4931541856</v>
      </c>
      <c r="T160" s="150">
        <f>IF(D160="","-",VLOOKUP(D160,DATOS!$B$47:$D$48,3,0)-SUMIFS(Q$2:Q160,D$2:D160,D160))</f>
        <v>150000000</v>
      </c>
      <c r="U160" s="150">
        <f>IF(D160="","-",VLOOKUP(D160,DATOS!$B$47:$E$48,4,0)-SUMIFS(R$2:R160,D$2:D160,D160))</f>
        <v>0</v>
      </c>
      <c r="V160" s="150">
        <f>IF(H160="","-",VLOOKUP(H160,DATOS!$D$52:$E$75,2,0)-SUMIFS(N$2:N160,H$2:H160,H160))</f>
        <v>4679000000</v>
      </c>
      <c r="W160" s="79"/>
      <c r="X160" s="79"/>
      <c r="Y160" s="79" t="s">
        <v>741</v>
      </c>
      <c r="Z160" s="166" t="str">
        <f t="shared" si="61"/>
        <v>Suministro e instalación equipo de respaldo Sede Centro (Planta Electrica de 750 KVA) y adecuación planta de 250KVA existente en la Sede Cetnro para Sede Funza (cabina de insonorización y base tanque) GSA16</v>
      </c>
      <c r="AA160" s="72" t="s">
        <v>298</v>
      </c>
      <c r="AB160" s="72" t="s">
        <v>293</v>
      </c>
      <c r="AC160" s="71">
        <v>3</v>
      </c>
      <c r="AD160" s="71" t="s">
        <v>271</v>
      </c>
      <c r="AE160" s="72" t="str">
        <f t="shared" si="62"/>
        <v>Licitación pública</v>
      </c>
      <c r="AF160" s="72" t="str">
        <f t="shared" si="59"/>
        <v>Nación</v>
      </c>
      <c r="AG160" s="167">
        <f t="shared" si="60"/>
        <v>650000000</v>
      </c>
      <c r="AH160" s="167">
        <f t="shared" si="63"/>
        <v>650000000</v>
      </c>
      <c r="AI160" s="71" t="s">
        <v>272</v>
      </c>
      <c r="AJ160" s="71" t="s">
        <v>273</v>
      </c>
      <c r="AK160" s="72" t="s">
        <v>274</v>
      </c>
      <c r="AL160" s="71" t="s">
        <v>275</v>
      </c>
      <c r="AM160" s="79" t="s">
        <v>747</v>
      </c>
      <c r="AN160" s="79">
        <v>3282888</v>
      </c>
      <c r="AO160" s="169" t="s">
        <v>353</v>
      </c>
    </row>
    <row r="161" spans="1:41" ht="70.5" customHeight="1" x14ac:dyDescent="0.3">
      <c r="A161" s="79" t="s">
        <v>700</v>
      </c>
      <c r="B161" s="72" t="s">
        <v>163</v>
      </c>
      <c r="C161" s="72" t="s">
        <v>205</v>
      </c>
      <c r="D161" s="72" t="s">
        <v>224</v>
      </c>
      <c r="E161" s="73" t="str">
        <f>IFERROR(VLOOKUP(D161,DATOS!E:F,2,0),"-")</f>
        <v>PROY1</v>
      </c>
      <c r="F161" s="72" t="s">
        <v>178</v>
      </c>
      <c r="G161" s="73" t="str">
        <f>IFERROR(VLOOKUP(F161,DATOS!G:H,2,0),"-")</f>
        <v>C_3399_1603_6_20302D_3399016</v>
      </c>
      <c r="H161" s="72" t="s">
        <v>189</v>
      </c>
      <c r="I161" s="79" t="s">
        <v>723</v>
      </c>
      <c r="J161" s="72" t="s">
        <v>164</v>
      </c>
      <c r="K161" s="79">
        <v>4</v>
      </c>
      <c r="L161" s="76">
        <f t="shared" si="64"/>
        <v>1000000000</v>
      </c>
      <c r="M161" s="79">
        <v>1</v>
      </c>
      <c r="N161" s="192">
        <f t="shared" si="65"/>
        <v>4000000000</v>
      </c>
      <c r="O161" s="87">
        <v>0</v>
      </c>
      <c r="P161" s="87">
        <v>4000000000</v>
      </c>
      <c r="Q161" s="87">
        <v>0</v>
      </c>
      <c r="R161" s="87">
        <v>0</v>
      </c>
      <c r="S161" s="150">
        <f>IF(D161="","-",VLOOKUP(D161,DATOS!$B$47:$C$48,2,0)-SUMIFS(P$2:P161,D$2:D161,D161))</f>
        <v>931541856</v>
      </c>
      <c r="T161" s="150">
        <f>IF(D161="","-",VLOOKUP(D161,DATOS!$B$47:$D$48,3,0)-SUMIFS(Q$2:Q161,D$2:D161,D161))</f>
        <v>150000000</v>
      </c>
      <c r="U161" s="150">
        <f>IF(D161="","-",VLOOKUP(D161,DATOS!$B$47:$E$48,4,0)-SUMIFS(R$2:R161,D$2:D161,D161))</f>
        <v>0</v>
      </c>
      <c r="V161" s="150">
        <f>IF(H161="","-",VLOOKUP(H161,DATOS!$D$52:$E$75,2,0)-SUMIFS(N$2:N161,H$2:H161,H161))</f>
        <v>679000000</v>
      </c>
      <c r="W161" s="79"/>
      <c r="X161" s="79"/>
      <c r="Y161" s="79" t="s">
        <v>742</v>
      </c>
      <c r="Z161" s="166" t="str">
        <f t="shared" si="61"/>
        <v>Intervenciones de emergencia edificio Norte y Sur del Archivo General de la Nación GSA17</v>
      </c>
      <c r="AA161" s="72" t="s">
        <v>298</v>
      </c>
      <c r="AB161" s="72" t="s">
        <v>293</v>
      </c>
      <c r="AC161" s="71">
        <v>4</v>
      </c>
      <c r="AD161" s="71" t="s">
        <v>271</v>
      </c>
      <c r="AE161" s="72" t="str">
        <f t="shared" si="62"/>
        <v>Licitación pública</v>
      </c>
      <c r="AF161" s="72" t="str">
        <f t="shared" si="59"/>
        <v>Nación</v>
      </c>
      <c r="AG161" s="167">
        <f t="shared" si="60"/>
        <v>4000000000</v>
      </c>
      <c r="AH161" s="167">
        <f t="shared" si="63"/>
        <v>4000000000</v>
      </c>
      <c r="AI161" s="71" t="s">
        <v>272</v>
      </c>
      <c r="AJ161" s="71" t="s">
        <v>273</v>
      </c>
      <c r="AK161" s="72" t="s">
        <v>274</v>
      </c>
      <c r="AL161" s="71" t="s">
        <v>275</v>
      </c>
      <c r="AM161" s="79" t="s">
        <v>747</v>
      </c>
      <c r="AN161" s="79">
        <v>3282888</v>
      </c>
      <c r="AO161" s="169" t="s">
        <v>353</v>
      </c>
    </row>
    <row r="162" spans="1:41" ht="76.5" customHeight="1" x14ac:dyDescent="0.3">
      <c r="A162" s="83" t="s">
        <v>701</v>
      </c>
      <c r="B162" s="72" t="s">
        <v>163</v>
      </c>
      <c r="C162" s="72" t="s">
        <v>205</v>
      </c>
      <c r="D162" s="72" t="s">
        <v>224</v>
      </c>
      <c r="E162" s="73" t="str">
        <f>IFERROR(VLOOKUP(D162,DATOS!E:F,2,0),"-")</f>
        <v>PROY1</v>
      </c>
      <c r="F162" s="72" t="s">
        <v>178</v>
      </c>
      <c r="G162" s="73" t="str">
        <f>IFERROR(VLOOKUP(F162,DATOS!G:H,2,0),"-")</f>
        <v>C_3399_1603_6_20302D_3399016</v>
      </c>
      <c r="H162" s="72" t="s">
        <v>189</v>
      </c>
      <c r="I162" s="79" t="s">
        <v>724</v>
      </c>
      <c r="J162" s="72" t="s">
        <v>730</v>
      </c>
      <c r="K162" s="79">
        <v>4</v>
      </c>
      <c r="L162" s="76">
        <f t="shared" si="64"/>
        <v>70000000</v>
      </c>
      <c r="M162" s="83">
        <v>1</v>
      </c>
      <c r="N162" s="192">
        <f t="shared" si="65"/>
        <v>280000000</v>
      </c>
      <c r="O162" s="100">
        <v>0</v>
      </c>
      <c r="P162" s="100">
        <v>280000000</v>
      </c>
      <c r="Q162" s="100">
        <v>0</v>
      </c>
      <c r="R162" s="100">
        <v>0</v>
      </c>
      <c r="S162" s="150">
        <f>IF(D162="","-",VLOOKUP(D162,DATOS!$B$47:$C$48,2,0)-SUMIFS(P$2:P162,D$2:D162,D162))</f>
        <v>651541856</v>
      </c>
      <c r="T162" s="150">
        <f>IF(D162="","-",VLOOKUP(D162,DATOS!$B$47:$D$48,3,0)-SUMIFS(Q$2:Q162,D$2:D162,D162))</f>
        <v>150000000</v>
      </c>
      <c r="U162" s="150">
        <f>IF(D162="","-",VLOOKUP(D162,DATOS!$B$47:$E$48,4,0)-SUMIFS(R$2:R162,D$2:D162,D162))</f>
        <v>0</v>
      </c>
      <c r="V162" s="150">
        <f>IF(H162="","-",VLOOKUP(H162,DATOS!$D$52:$E$75,2,0)-SUMIFS(N$2:N162,H$2:H162,H162))</f>
        <v>399000000</v>
      </c>
      <c r="W162" s="83"/>
      <c r="X162" s="83"/>
      <c r="Y162" s="79">
        <v>81101500</v>
      </c>
      <c r="Z162" s="166" t="str">
        <f t="shared" si="61"/>
        <v>Interventoria a Intervenciones de emergencia  edificio Norte y Sur del Archivo General de la Nación GSA18</v>
      </c>
      <c r="AA162" s="72" t="s">
        <v>298</v>
      </c>
      <c r="AB162" s="72" t="s">
        <v>293</v>
      </c>
      <c r="AC162" s="71">
        <v>4</v>
      </c>
      <c r="AD162" s="71" t="s">
        <v>271</v>
      </c>
      <c r="AE162" s="72" t="str">
        <f t="shared" si="62"/>
        <v>Concurso de méritos abierto</v>
      </c>
      <c r="AF162" s="72" t="str">
        <f t="shared" si="59"/>
        <v>Nación</v>
      </c>
      <c r="AG162" s="167">
        <f t="shared" si="60"/>
        <v>280000000</v>
      </c>
      <c r="AH162" s="167">
        <f t="shared" si="63"/>
        <v>280000000</v>
      </c>
      <c r="AI162" s="71" t="s">
        <v>272</v>
      </c>
      <c r="AJ162" s="71" t="s">
        <v>273</v>
      </c>
      <c r="AK162" s="72" t="s">
        <v>274</v>
      </c>
      <c r="AL162" s="71" t="s">
        <v>275</v>
      </c>
      <c r="AM162" s="79" t="s">
        <v>747</v>
      </c>
      <c r="AN162" s="79">
        <v>3282888</v>
      </c>
      <c r="AO162" s="169" t="s">
        <v>353</v>
      </c>
    </row>
    <row r="163" spans="1:41" ht="92.25" customHeight="1" x14ac:dyDescent="0.3">
      <c r="A163" s="83" t="s">
        <v>702</v>
      </c>
      <c r="B163" s="72" t="s">
        <v>163</v>
      </c>
      <c r="C163" s="72" t="s">
        <v>205</v>
      </c>
      <c r="D163" s="72" t="s">
        <v>224</v>
      </c>
      <c r="E163" s="73" t="str">
        <f>IFERROR(VLOOKUP(D163,DATOS!E:F,2,0),"-")</f>
        <v>PROY1</v>
      </c>
      <c r="F163" s="72" t="s">
        <v>178</v>
      </c>
      <c r="G163" s="73" t="str">
        <f>IFERROR(VLOOKUP(F163,DATOS!G:H,2,0),"-")</f>
        <v>C_3399_1603_6_20302D_3399016</v>
      </c>
      <c r="H163" s="72" t="s">
        <v>189</v>
      </c>
      <c r="I163" s="79" t="s">
        <v>725</v>
      </c>
      <c r="J163" s="72" t="s">
        <v>730</v>
      </c>
      <c r="K163" s="79">
        <v>5</v>
      </c>
      <c r="L163" s="76">
        <f t="shared" si="64"/>
        <v>50000000</v>
      </c>
      <c r="M163" s="83">
        <v>1</v>
      </c>
      <c r="N163" s="192">
        <f t="shared" si="65"/>
        <v>250000000</v>
      </c>
      <c r="O163" s="100">
        <v>0</v>
      </c>
      <c r="P163" s="100">
        <v>250000000</v>
      </c>
      <c r="Q163" s="100">
        <v>0</v>
      </c>
      <c r="R163" s="100">
        <v>0</v>
      </c>
      <c r="S163" s="150">
        <f>IF(D163="","-",VLOOKUP(D163,DATOS!$B$47:$C$48,2,0)-SUMIFS(P$2:P163,D$2:D163,D163))</f>
        <v>401541856</v>
      </c>
      <c r="T163" s="150">
        <f>IF(D163="","-",VLOOKUP(D163,DATOS!$B$47:$D$48,3,0)-SUMIFS(Q$2:Q163,D$2:D163,D163))</f>
        <v>150000000</v>
      </c>
      <c r="U163" s="150">
        <f>IF(D163="","-",VLOOKUP(D163,DATOS!$B$47:$E$48,4,0)-SUMIFS(R$2:R163,D$2:D163,D163))</f>
        <v>0</v>
      </c>
      <c r="V163" s="150">
        <f>IF(H163="","-",VLOOKUP(H163,DATOS!$D$52:$E$75,2,0)-SUMIFS(N$2:N163,H$2:H163,H163))</f>
        <v>149000000</v>
      </c>
      <c r="W163" s="83"/>
      <c r="X163" s="83"/>
      <c r="Y163" s="79" t="s">
        <v>743</v>
      </c>
      <c r="Z163" s="166" t="str">
        <f t="shared" si="61"/>
        <v>Consultoria Intervenciones de emergencia edificio Norte y Sur del Archivo General de la Nación GSA19</v>
      </c>
      <c r="AA163" s="72" t="s">
        <v>279</v>
      </c>
      <c r="AB163" s="72" t="s">
        <v>402</v>
      </c>
      <c r="AC163" s="71">
        <v>5</v>
      </c>
      <c r="AD163" s="71" t="s">
        <v>271</v>
      </c>
      <c r="AE163" s="72" t="str">
        <f t="shared" si="62"/>
        <v>Concurso de méritos abierto</v>
      </c>
      <c r="AF163" s="72" t="str">
        <f t="shared" si="59"/>
        <v>Nación</v>
      </c>
      <c r="AG163" s="167">
        <f t="shared" si="60"/>
        <v>250000000</v>
      </c>
      <c r="AH163" s="167">
        <f t="shared" si="63"/>
        <v>250000000</v>
      </c>
      <c r="AI163" s="71" t="s">
        <v>272</v>
      </c>
      <c r="AJ163" s="71" t="s">
        <v>273</v>
      </c>
      <c r="AK163" s="72" t="s">
        <v>274</v>
      </c>
      <c r="AL163" s="71" t="s">
        <v>275</v>
      </c>
      <c r="AM163" s="79" t="s">
        <v>747</v>
      </c>
      <c r="AN163" s="79">
        <v>3282888</v>
      </c>
      <c r="AO163" s="169" t="s">
        <v>353</v>
      </c>
    </row>
    <row r="164" spans="1:41" ht="95.4" customHeight="1" x14ac:dyDescent="0.3">
      <c r="A164" s="83" t="s">
        <v>703</v>
      </c>
      <c r="B164" s="72" t="s">
        <v>163</v>
      </c>
      <c r="C164" s="72" t="s">
        <v>205</v>
      </c>
      <c r="D164" s="72" t="s">
        <v>224</v>
      </c>
      <c r="E164" s="73" t="str">
        <f>IFERROR(VLOOKUP(D164,DATOS!E:F,2,0),"-")</f>
        <v>PROY1</v>
      </c>
      <c r="F164" s="72" t="s">
        <v>178</v>
      </c>
      <c r="G164" s="73" t="str">
        <f>IFERROR(VLOOKUP(F164,DATOS!G:H,2,0),"-")</f>
        <v>C_3399_1603_6_20302D_3399016</v>
      </c>
      <c r="H164" s="72" t="s">
        <v>189</v>
      </c>
      <c r="I164" s="79" t="s">
        <v>726</v>
      </c>
      <c r="J164" s="72" t="s">
        <v>161</v>
      </c>
      <c r="K164" s="79">
        <v>6</v>
      </c>
      <c r="L164" s="76">
        <f t="shared" si="64"/>
        <v>6000000</v>
      </c>
      <c r="M164" s="83">
        <v>1</v>
      </c>
      <c r="N164" s="192">
        <f t="shared" si="65"/>
        <v>36000000</v>
      </c>
      <c r="O164" s="100">
        <v>0</v>
      </c>
      <c r="P164" s="100">
        <v>36000000</v>
      </c>
      <c r="Q164" s="100">
        <v>0</v>
      </c>
      <c r="R164" s="100">
        <v>0</v>
      </c>
      <c r="S164" s="150">
        <f>IF(D164="","-",VLOOKUP(D164,DATOS!$B$47:$C$48,2,0)-SUMIFS(P$2:P164,D$2:D164,D164))</f>
        <v>365541856</v>
      </c>
      <c r="T164" s="150">
        <f>IF(D164="","-",VLOOKUP(D164,DATOS!$B$47:$D$48,3,0)-SUMIFS(Q$2:Q164,D$2:D164,D164))</f>
        <v>150000000</v>
      </c>
      <c r="U164" s="150">
        <f>IF(D164="","-",VLOOKUP(D164,DATOS!$B$47:$E$48,4,0)-SUMIFS(R$2:R164,D$2:D164,D164))</f>
        <v>0</v>
      </c>
      <c r="V164" s="150">
        <f>IF(H164="","-",VLOOKUP(H164,DATOS!$D$52:$E$75,2,0)-SUMIFS(N$2:N164,H$2:H164,H164))</f>
        <v>113000000</v>
      </c>
      <c r="W164" s="83"/>
      <c r="X164" s="83"/>
      <c r="Y164" s="79">
        <v>81141503</v>
      </c>
      <c r="Z164" s="166" t="str">
        <f t="shared" si="61"/>
        <v>Prestación de servicios profesionales para estructurar los documentos técnicos para contratar los procesos de interventoría y montaje, fabricación del módulo 8, fase 2 del modulo 7 y subestación de energía en la Sede Funza del Archivo General de la Nación. GSA20</v>
      </c>
      <c r="AA164" s="71" t="s">
        <v>278</v>
      </c>
      <c r="AB164" s="71" t="s">
        <v>278</v>
      </c>
      <c r="AC164" s="71">
        <v>6</v>
      </c>
      <c r="AD164" s="71" t="s">
        <v>271</v>
      </c>
      <c r="AE164" s="72" t="str">
        <f t="shared" si="62"/>
        <v>Contratación directa</v>
      </c>
      <c r="AF164" s="72" t="str">
        <f t="shared" si="59"/>
        <v>Nación</v>
      </c>
      <c r="AG164" s="167">
        <f t="shared" si="60"/>
        <v>36000000</v>
      </c>
      <c r="AH164" s="167">
        <f t="shared" si="63"/>
        <v>36000000</v>
      </c>
      <c r="AI164" s="71" t="s">
        <v>272</v>
      </c>
      <c r="AJ164" s="71" t="s">
        <v>273</v>
      </c>
      <c r="AK164" s="72" t="s">
        <v>274</v>
      </c>
      <c r="AL164" s="71" t="s">
        <v>275</v>
      </c>
      <c r="AM164" s="79" t="s">
        <v>747</v>
      </c>
      <c r="AN164" s="79">
        <v>3282888</v>
      </c>
      <c r="AO164" s="169" t="s">
        <v>353</v>
      </c>
    </row>
    <row r="165" spans="1:41" ht="90.6" customHeight="1" x14ac:dyDescent="0.3">
      <c r="A165" s="83" t="s">
        <v>704</v>
      </c>
      <c r="B165" s="72" t="s">
        <v>163</v>
      </c>
      <c r="C165" s="72" t="s">
        <v>205</v>
      </c>
      <c r="D165" s="72" t="s">
        <v>224</v>
      </c>
      <c r="E165" s="73" t="str">
        <f>IFERROR(VLOOKUP(D165,DATOS!E:F,2,0),"-")</f>
        <v>PROY1</v>
      </c>
      <c r="F165" s="72" t="s">
        <v>178</v>
      </c>
      <c r="G165" s="73" t="str">
        <f>IFERROR(VLOOKUP(F165,DATOS!G:H,2,0),"-")</f>
        <v>C_3399_1603_6_20302D_3399016</v>
      </c>
      <c r="H165" s="72" t="s">
        <v>189</v>
      </c>
      <c r="I165" s="79" t="s">
        <v>727</v>
      </c>
      <c r="J165" s="72" t="s">
        <v>161</v>
      </c>
      <c r="K165" s="79">
        <v>6</v>
      </c>
      <c r="L165" s="76">
        <f t="shared" si="64"/>
        <v>6000000</v>
      </c>
      <c r="M165" s="83">
        <v>1</v>
      </c>
      <c r="N165" s="192">
        <f t="shared" si="65"/>
        <v>36000000</v>
      </c>
      <c r="O165" s="100">
        <v>0</v>
      </c>
      <c r="P165" s="100">
        <v>36000000</v>
      </c>
      <c r="Q165" s="100">
        <v>0</v>
      </c>
      <c r="R165" s="100">
        <v>0</v>
      </c>
      <c r="S165" s="150">
        <f>IF(D165="","-",VLOOKUP(D165,DATOS!$B$47:$C$48,2,0)-SUMIFS(P$2:P165,D$2:D165,D165))</f>
        <v>329541856</v>
      </c>
      <c r="T165" s="150">
        <f>IF(D165="","-",VLOOKUP(D165,DATOS!$B$47:$D$48,3,0)-SUMIFS(Q$2:Q165,D$2:D165,D165))</f>
        <v>150000000</v>
      </c>
      <c r="U165" s="150">
        <f>IF(D165="","-",VLOOKUP(D165,DATOS!$B$47:$E$48,4,0)-SUMIFS(R$2:R165,D$2:D165,D165))</f>
        <v>0</v>
      </c>
      <c r="V165" s="150">
        <f>IF(H165="","-",VLOOKUP(H165,DATOS!$D$52:$E$75,2,0)-SUMIFS(N$2:N165,H$2:H165,H165))</f>
        <v>77000000</v>
      </c>
      <c r="W165" s="83"/>
      <c r="X165" s="83"/>
      <c r="Y165" s="79" t="s">
        <v>744</v>
      </c>
      <c r="Z165" s="166" t="str">
        <f t="shared" si="61"/>
        <v>Estructurar los documentos técnicos para contratar la construcción, montaje y puesta en funcionamiento del sistema eléctrico del módulo 8, fase 2 del modulo 7 y subestación de energía para la Sede Funza del Archivo General de la Nación. GSA21</v>
      </c>
      <c r="AA165" s="71" t="s">
        <v>278</v>
      </c>
      <c r="AB165" s="71" t="s">
        <v>278</v>
      </c>
      <c r="AC165" s="71">
        <v>6</v>
      </c>
      <c r="AD165" s="71" t="s">
        <v>271</v>
      </c>
      <c r="AE165" s="72" t="str">
        <f t="shared" si="62"/>
        <v>Contratación directa</v>
      </c>
      <c r="AF165" s="72" t="str">
        <f t="shared" si="59"/>
        <v>Nación</v>
      </c>
      <c r="AG165" s="167">
        <f t="shared" si="60"/>
        <v>36000000</v>
      </c>
      <c r="AH165" s="167">
        <f t="shared" si="63"/>
        <v>36000000</v>
      </c>
      <c r="AI165" s="71" t="s">
        <v>272</v>
      </c>
      <c r="AJ165" s="71" t="s">
        <v>273</v>
      </c>
      <c r="AK165" s="72" t="s">
        <v>274</v>
      </c>
      <c r="AL165" s="71" t="s">
        <v>275</v>
      </c>
      <c r="AM165" s="79" t="s">
        <v>747</v>
      </c>
      <c r="AN165" s="79">
        <v>3282888</v>
      </c>
      <c r="AO165" s="169" t="s">
        <v>353</v>
      </c>
    </row>
    <row r="166" spans="1:41" ht="63.75" customHeight="1" x14ac:dyDescent="0.3">
      <c r="A166" s="83" t="s">
        <v>705</v>
      </c>
      <c r="B166" s="72" t="s">
        <v>163</v>
      </c>
      <c r="C166" s="72" t="s">
        <v>205</v>
      </c>
      <c r="D166" s="72" t="s">
        <v>224</v>
      </c>
      <c r="E166" s="73" t="str">
        <f>IFERROR(VLOOKUP(D166,DATOS!E:F,2,0),"-")</f>
        <v>PROY1</v>
      </c>
      <c r="F166" s="72" t="s">
        <v>178</v>
      </c>
      <c r="G166" s="73" t="str">
        <f>IFERROR(VLOOKUP(F166,DATOS!G:H,2,0),"-")</f>
        <v>C_3399_1603_6_20302D_3399016</v>
      </c>
      <c r="H166" s="72" t="s">
        <v>189</v>
      </c>
      <c r="I166" s="79" t="s">
        <v>728</v>
      </c>
      <c r="J166" s="72" t="s">
        <v>161</v>
      </c>
      <c r="K166" s="79">
        <v>6</v>
      </c>
      <c r="L166" s="76">
        <f t="shared" si="64"/>
        <v>6500000</v>
      </c>
      <c r="M166" s="83">
        <v>1</v>
      </c>
      <c r="N166" s="192">
        <f t="shared" si="65"/>
        <v>39000000</v>
      </c>
      <c r="O166" s="100">
        <v>0</v>
      </c>
      <c r="P166" s="100">
        <v>39000000</v>
      </c>
      <c r="Q166" s="100">
        <v>0</v>
      </c>
      <c r="R166" s="100">
        <v>0</v>
      </c>
      <c r="S166" s="150">
        <f>IF(D166="","-",VLOOKUP(D166,DATOS!$B$47:$C$48,2,0)-SUMIFS(P$2:P166,D$2:D166,D166))</f>
        <v>290541856</v>
      </c>
      <c r="T166" s="150">
        <f>IF(D166="","-",VLOOKUP(D166,DATOS!$B$47:$D$48,3,0)-SUMIFS(Q$2:Q166,D$2:D166,D166))</f>
        <v>150000000</v>
      </c>
      <c r="U166" s="150">
        <f>IF(D166="","-",VLOOKUP(D166,DATOS!$B$47:$E$48,4,0)-SUMIFS(R$2:R166,D$2:D166,D166))</f>
        <v>0</v>
      </c>
      <c r="V166" s="150">
        <f>IF(H166="","-",VLOOKUP(H166,DATOS!$D$52:$E$75,2,0)-SUMIFS(N$2:N166,H$2:H166,H166))</f>
        <v>38000000</v>
      </c>
      <c r="W166" s="83"/>
      <c r="X166" s="83"/>
      <c r="Y166" s="79" t="s">
        <v>745</v>
      </c>
      <c r="Z166" s="166" t="str">
        <f t="shared" si="61"/>
        <v>Estructurar los documentos técnicos para el proyecto de intervención de modificación arquitectónica, estructural, eléctrica, de redes (voz y datos) de la Sede Centro del AGN. GSA22</v>
      </c>
      <c r="AA166" s="71" t="s">
        <v>402</v>
      </c>
      <c r="AB166" s="71" t="s">
        <v>402</v>
      </c>
      <c r="AC166" s="71">
        <v>6</v>
      </c>
      <c r="AD166" s="71" t="s">
        <v>271</v>
      </c>
      <c r="AE166" s="72" t="str">
        <f t="shared" si="62"/>
        <v>Contratación directa</v>
      </c>
      <c r="AF166" s="72" t="str">
        <f t="shared" si="59"/>
        <v>Nación</v>
      </c>
      <c r="AG166" s="167">
        <f t="shared" si="60"/>
        <v>39000000</v>
      </c>
      <c r="AH166" s="167">
        <f t="shared" si="63"/>
        <v>39000000</v>
      </c>
      <c r="AI166" s="71" t="s">
        <v>272</v>
      </c>
      <c r="AJ166" s="71" t="s">
        <v>273</v>
      </c>
      <c r="AK166" s="72" t="s">
        <v>274</v>
      </c>
      <c r="AL166" s="71" t="s">
        <v>275</v>
      </c>
      <c r="AM166" s="79" t="s">
        <v>747</v>
      </c>
      <c r="AN166" s="79">
        <v>3282888</v>
      </c>
      <c r="AO166" s="169" t="s">
        <v>353</v>
      </c>
    </row>
    <row r="167" spans="1:41" ht="63.75" customHeight="1" x14ac:dyDescent="0.3">
      <c r="A167" s="83" t="s">
        <v>706</v>
      </c>
      <c r="B167" s="72" t="s">
        <v>163</v>
      </c>
      <c r="C167" s="72" t="s">
        <v>205</v>
      </c>
      <c r="D167" s="72" t="s">
        <v>224</v>
      </c>
      <c r="E167" s="73" t="str">
        <f>IFERROR(VLOOKUP(D167,DATOS!E:F,2,0),"-")</f>
        <v>PROY1</v>
      </c>
      <c r="F167" s="72" t="s">
        <v>178</v>
      </c>
      <c r="G167" s="73" t="str">
        <f>IFERROR(VLOOKUP(F167,DATOS!G:H,2,0),"-")</f>
        <v>C_3399_1603_6_20302D_3399016</v>
      </c>
      <c r="H167" s="72" t="s">
        <v>189</v>
      </c>
      <c r="I167" s="79" t="s">
        <v>729</v>
      </c>
      <c r="J167" s="72" t="s">
        <v>161</v>
      </c>
      <c r="K167" s="79">
        <v>6</v>
      </c>
      <c r="L167" s="76">
        <f t="shared" si="64"/>
        <v>5000000</v>
      </c>
      <c r="M167" s="83">
        <v>1</v>
      </c>
      <c r="N167" s="192">
        <f t="shared" si="65"/>
        <v>30000000</v>
      </c>
      <c r="O167" s="100">
        <v>0</v>
      </c>
      <c r="P167" s="100">
        <v>30000000</v>
      </c>
      <c r="Q167" s="100">
        <v>0</v>
      </c>
      <c r="R167" s="100">
        <v>0</v>
      </c>
      <c r="S167" s="150">
        <f>IF(D167="","-",VLOOKUP(D167,DATOS!$B$47:$C$48,2,0)-SUMIFS(P$2:P167,D$2:D167,D167))</f>
        <v>260541856</v>
      </c>
      <c r="T167" s="150">
        <f>IF(D167="","-",VLOOKUP(D167,DATOS!$B$47:$D$48,3,0)-SUMIFS(Q$2:Q167,D$2:D167,D167))</f>
        <v>150000000</v>
      </c>
      <c r="U167" s="150">
        <f>IF(D167="","-",VLOOKUP(D167,DATOS!$B$47:$E$48,4,0)-SUMIFS(R$2:R167,D$2:D167,D167))</f>
        <v>0</v>
      </c>
      <c r="V167" s="150">
        <f>IF(H167="","-",VLOOKUP(H167,DATOS!$D$52:$E$75,2,0)-SUMIFS(N$2:N167,H$2:H167,H167))</f>
        <v>8000000</v>
      </c>
      <c r="W167" s="83"/>
      <c r="X167" s="83"/>
      <c r="Y167" s="79" t="s">
        <v>746</v>
      </c>
      <c r="Z167" s="166" t="str">
        <f t="shared" si="61"/>
        <v>Documentación Sistema de Gestión Ambiental GSA23</v>
      </c>
      <c r="AA167" s="71" t="s">
        <v>278</v>
      </c>
      <c r="AB167" s="71" t="s">
        <v>278</v>
      </c>
      <c r="AC167" s="71">
        <v>6</v>
      </c>
      <c r="AD167" s="71" t="s">
        <v>271</v>
      </c>
      <c r="AE167" s="72" t="str">
        <f t="shared" si="62"/>
        <v>Contratación directa</v>
      </c>
      <c r="AF167" s="72" t="str">
        <f t="shared" si="59"/>
        <v>Nación</v>
      </c>
      <c r="AG167" s="167">
        <f t="shared" si="60"/>
        <v>30000000</v>
      </c>
      <c r="AH167" s="167">
        <f t="shared" si="63"/>
        <v>30000000</v>
      </c>
      <c r="AI167" s="71" t="s">
        <v>272</v>
      </c>
      <c r="AJ167" s="71" t="s">
        <v>273</v>
      </c>
      <c r="AK167" s="72" t="s">
        <v>274</v>
      </c>
      <c r="AL167" s="71" t="s">
        <v>275</v>
      </c>
      <c r="AM167" s="79" t="s">
        <v>747</v>
      </c>
      <c r="AN167" s="79">
        <v>3282888</v>
      </c>
      <c r="AO167" s="169" t="s">
        <v>353</v>
      </c>
    </row>
    <row r="168" spans="1:41" ht="79.5" customHeight="1" x14ac:dyDescent="0.3">
      <c r="A168" s="79" t="s">
        <v>813</v>
      </c>
      <c r="B168" s="72" t="s">
        <v>163</v>
      </c>
      <c r="C168" s="72" t="s">
        <v>205</v>
      </c>
      <c r="D168" s="72" t="s">
        <v>224</v>
      </c>
      <c r="E168" s="73" t="str">
        <f>IFERROR(VLOOKUP(D168,DATOS!E:F,2,0),"-")</f>
        <v>PROY1</v>
      </c>
      <c r="F168" s="72" t="s">
        <v>178</v>
      </c>
      <c r="G168" s="73" t="str">
        <f>IFERROR(VLOOKUP(F168,DATOS!G:H,2,0),"-")</f>
        <v>C_3399_1603_6_20302D_3399016</v>
      </c>
      <c r="H168" s="72" t="s">
        <v>189</v>
      </c>
      <c r="I168" s="79" t="s">
        <v>814</v>
      </c>
      <c r="J168" s="72" t="s">
        <v>167</v>
      </c>
      <c r="K168" s="79">
        <v>10</v>
      </c>
      <c r="L168" s="76">
        <f t="shared" si="64"/>
        <v>800000</v>
      </c>
      <c r="M168" s="79">
        <v>1</v>
      </c>
      <c r="N168" s="192">
        <f t="shared" si="65"/>
        <v>8000000</v>
      </c>
      <c r="O168" s="87">
        <v>0</v>
      </c>
      <c r="P168" s="87">
        <v>8000000</v>
      </c>
      <c r="Q168" s="87">
        <v>0</v>
      </c>
      <c r="R168" s="87">
        <v>0</v>
      </c>
      <c r="S168" s="150">
        <f>IF(D168="","-",VLOOKUP(D168,DATOS!$B$47:$C$48,2,0)-SUMIFS(P$2:P168,D$2:D168,D168))</f>
        <v>252541856</v>
      </c>
      <c r="T168" s="150">
        <f>IF(D168="","-",VLOOKUP(D168,DATOS!$B$47:$D$48,3,0)-SUMIFS(Q$2:Q168,D$2:D168,D168))</f>
        <v>150000000</v>
      </c>
      <c r="U168" s="150">
        <f>IF(D168="","-",VLOOKUP(D168,DATOS!$B$47:$E$48,4,0)-SUMIFS(R$2:R168,D$2:D168,D168))</f>
        <v>0</v>
      </c>
      <c r="V168" s="150">
        <f>IF(H168="","-",VLOOKUP(H168,DATOS!$D$52:$E$75,2,0)-SUMIFS(N$2:N168,H$2:H168,H168))</f>
        <v>0</v>
      </c>
      <c r="W168" s="79"/>
      <c r="X168" s="79"/>
      <c r="Y168" s="79" t="s">
        <v>815</v>
      </c>
      <c r="Z168" s="166" t="str">
        <f t="shared" si="61"/>
        <v>Prestar el servicio de fumigación y desratización en el Archivo General de la Nación Jorge Palacios Preciado. GSA24</v>
      </c>
      <c r="AA168" s="72" t="s">
        <v>278</v>
      </c>
      <c r="AB168" s="72" t="s">
        <v>277</v>
      </c>
      <c r="AC168" s="71">
        <v>10</v>
      </c>
      <c r="AD168" s="71" t="s">
        <v>271</v>
      </c>
      <c r="AE168" s="72" t="str">
        <f t="shared" si="62"/>
        <v>Mínima cuantía</v>
      </c>
      <c r="AF168" s="72" t="str">
        <f t="shared" ref="AF168" si="66">IF(SUM(O168:R168)=0,"-",IF(SUM(O168:P168)&gt;=SUM(Q168:R168),"Nación","Propios"))</f>
        <v>Nación</v>
      </c>
      <c r="AG168" s="167">
        <f t="shared" ref="AG168" si="67">AH168</f>
        <v>8000000</v>
      </c>
      <c r="AH168" s="167">
        <f t="shared" si="63"/>
        <v>8000000</v>
      </c>
      <c r="AI168" s="71" t="s">
        <v>272</v>
      </c>
      <c r="AJ168" s="71" t="s">
        <v>273</v>
      </c>
      <c r="AK168" s="72" t="s">
        <v>274</v>
      </c>
      <c r="AL168" s="71" t="s">
        <v>275</v>
      </c>
      <c r="AM168" s="79" t="s">
        <v>747</v>
      </c>
      <c r="AN168" s="79">
        <v>3282888</v>
      </c>
      <c r="AO168" s="169" t="s">
        <v>353</v>
      </c>
    </row>
    <row r="169" spans="1:41" ht="75.599999999999994" customHeight="1" x14ac:dyDescent="0.3">
      <c r="A169" s="83" t="s">
        <v>420</v>
      </c>
      <c r="B169" s="72" t="s">
        <v>163</v>
      </c>
      <c r="C169" s="72" t="s">
        <v>163</v>
      </c>
      <c r="D169" s="72" t="s">
        <v>224</v>
      </c>
      <c r="E169" s="73" t="str">
        <f>IFERROR(VLOOKUP(D169,DATOS!E:F,2,0),"-")</f>
        <v>PROY1</v>
      </c>
      <c r="F169" s="72" t="s">
        <v>176</v>
      </c>
      <c r="G169" s="73" t="str">
        <f>IFERROR(VLOOKUP(F169,DATOS!G:H,2,0),"-")</f>
        <v>C_3399_1603_6_20302D_3399056</v>
      </c>
      <c r="H169" s="72" t="s">
        <v>184</v>
      </c>
      <c r="I169" s="197" t="s">
        <v>750</v>
      </c>
      <c r="J169" s="72" t="s">
        <v>167</v>
      </c>
      <c r="K169" s="79">
        <v>7</v>
      </c>
      <c r="L169" s="76">
        <f t="shared" si="64"/>
        <v>2354788.5714285714</v>
      </c>
      <c r="M169" s="83">
        <v>1</v>
      </c>
      <c r="N169" s="192">
        <f t="shared" si="65"/>
        <v>16483520</v>
      </c>
      <c r="O169" s="100">
        <v>0</v>
      </c>
      <c r="P169" s="100">
        <v>16483520</v>
      </c>
      <c r="Q169" s="100">
        <v>0</v>
      </c>
      <c r="R169" s="100">
        <v>0</v>
      </c>
      <c r="S169" s="150">
        <f>IF(D169="","-",VLOOKUP(D169,DATOS!$B$47:$C$48,2,0)-SUMIFS(P$2:P169,D$2:D169,D169))</f>
        <v>236058336</v>
      </c>
      <c r="T169" s="150">
        <f>IF(D169="","-",VLOOKUP(D169,DATOS!$B$47:$D$48,3,0)-SUMIFS(Q$2:Q169,D$2:D169,D169))</f>
        <v>150000000</v>
      </c>
      <c r="U169" s="150">
        <f>IF(D169="","-",VLOOKUP(D169,DATOS!$B$47:$E$48,4,0)-SUMIFS(R$2:R169,D$2:D169,D169))</f>
        <v>0</v>
      </c>
      <c r="V169" s="150">
        <f>IF(H169="","-",VLOOKUP(H169,DATOS!$D$52:$E$75,2,0)-SUMIFS(N$2:N169,H$2:H169,H169))</f>
        <v>30167580</v>
      </c>
      <c r="W169" s="83"/>
      <c r="X169" s="83"/>
      <c r="Y169" s="79" t="s">
        <v>755</v>
      </c>
      <c r="Z169" s="166" t="str">
        <f t="shared" si="61"/>
        <v xml:space="preserve">Prestar el servicio como intérprete de Lengua de Señas en la realización de actividades y eventos, promoviendo la permanencia e inclusión de personas con discapacidad auditiva en el Archivo General de la Nación SG1
</v>
      </c>
      <c r="AA169" s="71" t="s">
        <v>279</v>
      </c>
      <c r="AB169" s="71" t="s">
        <v>402</v>
      </c>
      <c r="AC169" s="71">
        <v>7</v>
      </c>
      <c r="AD169" s="71" t="s">
        <v>271</v>
      </c>
      <c r="AE169" s="72" t="str">
        <f t="shared" si="62"/>
        <v>Mínima cuantía</v>
      </c>
      <c r="AF169" s="72" t="str">
        <f t="shared" ref="AF169:AF173" si="68">IF(SUM(O169:R169)=0,"-",IF(SUM(O169:P169)&gt;=SUM(Q169:R169),"Nación","Propios"))</f>
        <v>Nación</v>
      </c>
      <c r="AG169" s="167">
        <f t="shared" ref="AG169:AG173" si="69">AH169</f>
        <v>16483520</v>
      </c>
      <c r="AH169" s="167">
        <f t="shared" si="63"/>
        <v>16483520</v>
      </c>
      <c r="AI169" s="71" t="s">
        <v>272</v>
      </c>
      <c r="AJ169" s="71" t="s">
        <v>273</v>
      </c>
      <c r="AK169" s="72" t="s">
        <v>274</v>
      </c>
      <c r="AL169" s="71" t="s">
        <v>275</v>
      </c>
      <c r="AM169" s="79" t="s">
        <v>424</v>
      </c>
      <c r="AN169" s="79">
        <v>3282888</v>
      </c>
      <c r="AO169" s="169" t="s">
        <v>756</v>
      </c>
    </row>
    <row r="170" spans="1:41" ht="105" customHeight="1" x14ac:dyDescent="0.3">
      <c r="A170" s="83" t="s">
        <v>426</v>
      </c>
      <c r="B170" s="72" t="s">
        <v>163</v>
      </c>
      <c r="C170" s="72" t="s">
        <v>163</v>
      </c>
      <c r="D170" s="72" t="s">
        <v>224</v>
      </c>
      <c r="E170" s="73" t="str">
        <f>IFERROR(VLOOKUP(D170,DATOS!E:F,2,0),"-")</f>
        <v>PROY1</v>
      </c>
      <c r="F170" s="72" t="s">
        <v>176</v>
      </c>
      <c r="G170" s="78" t="str">
        <f>IFERROR(VLOOKUP(F170,DATOS!G:H,2,0),"-")</f>
        <v>C_3399_1603_6_20302D_3399056</v>
      </c>
      <c r="H170" s="72" t="s">
        <v>185</v>
      </c>
      <c r="I170" s="197" t="s">
        <v>751</v>
      </c>
      <c r="J170" s="72" t="s">
        <v>161</v>
      </c>
      <c r="K170" s="79">
        <v>12</v>
      </c>
      <c r="L170" s="76">
        <f t="shared" si="64"/>
        <v>4157563</v>
      </c>
      <c r="M170" s="83">
        <v>1</v>
      </c>
      <c r="N170" s="192">
        <f t="shared" si="65"/>
        <v>49890756</v>
      </c>
      <c r="O170" s="100">
        <v>0</v>
      </c>
      <c r="P170" s="100">
        <v>49890756</v>
      </c>
      <c r="Q170" s="100">
        <v>0</v>
      </c>
      <c r="R170" s="100">
        <v>0</v>
      </c>
      <c r="S170" s="150">
        <f>IF(D170="","-",VLOOKUP(D170,DATOS!$B$47:$C$48,2,0)-SUMIFS(P$2:P170,D$2:D170,D170))</f>
        <v>186167580</v>
      </c>
      <c r="T170" s="150">
        <f>IF(D170="","-",VLOOKUP(D170,DATOS!$B$47:$D$48,3,0)-SUMIFS(Q$2:Q170,D$2:D170,D170))</f>
        <v>150000000</v>
      </c>
      <c r="U170" s="150">
        <f>IF(D170="","-",VLOOKUP(D170,DATOS!$B$47:$E$48,4,0)-SUMIFS(R$2:R170,D$2:D170,D170))</f>
        <v>0</v>
      </c>
      <c r="V170" s="150">
        <f>IF(H170="","-",VLOOKUP(H170,DATOS!$D$52:$E$75,2,0)-SUMIFS(N$2:N170,H$2:H170,H170))</f>
        <v>306000000</v>
      </c>
      <c r="W170" s="83"/>
      <c r="X170" s="83"/>
      <c r="Y170" s="79" t="s">
        <v>423</v>
      </c>
      <c r="Z170" s="166" t="str">
        <f t="shared" si="61"/>
        <v>Implementar instrumentos de Planeación que soporten la gestión estratégica y misional de la entidad dando cumplimiento a la política de simplificación de procesos establecida en el modelo integrado de planeación y gestión. SG2</v>
      </c>
      <c r="AA170" s="71" t="s">
        <v>292</v>
      </c>
      <c r="AB170" s="71" t="s">
        <v>292</v>
      </c>
      <c r="AC170" s="71">
        <v>12</v>
      </c>
      <c r="AD170" s="71" t="s">
        <v>271</v>
      </c>
      <c r="AE170" s="72" t="str">
        <f t="shared" si="62"/>
        <v>Contratación directa</v>
      </c>
      <c r="AF170" s="72" t="str">
        <f t="shared" si="68"/>
        <v>Nación</v>
      </c>
      <c r="AG170" s="167">
        <f t="shared" si="69"/>
        <v>49890756</v>
      </c>
      <c r="AH170" s="167">
        <f t="shared" si="63"/>
        <v>49890756</v>
      </c>
      <c r="AI170" s="71" t="s">
        <v>272</v>
      </c>
      <c r="AJ170" s="71" t="s">
        <v>273</v>
      </c>
      <c r="AK170" s="72" t="s">
        <v>274</v>
      </c>
      <c r="AL170" s="71" t="s">
        <v>275</v>
      </c>
      <c r="AM170" s="79" t="s">
        <v>762</v>
      </c>
      <c r="AN170" s="79">
        <v>3282888</v>
      </c>
      <c r="AO170" s="169" t="s">
        <v>761</v>
      </c>
    </row>
    <row r="171" spans="1:41" ht="112.8" customHeight="1" x14ac:dyDescent="0.3">
      <c r="A171" s="83" t="s">
        <v>428</v>
      </c>
      <c r="B171" s="72" t="s">
        <v>163</v>
      </c>
      <c r="C171" s="72" t="s">
        <v>163</v>
      </c>
      <c r="D171" s="72" t="s">
        <v>224</v>
      </c>
      <c r="E171" s="73" t="str">
        <f>IFERROR(VLOOKUP(D171,DATOS!E:F,2,0),"-")</f>
        <v>PROY1</v>
      </c>
      <c r="F171" s="72" t="s">
        <v>176</v>
      </c>
      <c r="G171" s="73" t="str">
        <f>IFERROR(VLOOKUP(F171,DATOS!G:H,2,0),"-")</f>
        <v>C_3399_1603_6_20302D_3399056</v>
      </c>
      <c r="H171" s="72" t="s">
        <v>185</v>
      </c>
      <c r="I171" s="197" t="s">
        <v>752</v>
      </c>
      <c r="J171" s="72" t="s">
        <v>161</v>
      </c>
      <c r="K171" s="79">
        <v>6</v>
      </c>
      <c r="L171" s="76">
        <f t="shared" si="64"/>
        <v>5500000</v>
      </c>
      <c r="M171" s="83">
        <v>1</v>
      </c>
      <c r="N171" s="192">
        <f t="shared" si="65"/>
        <v>33000000</v>
      </c>
      <c r="O171" s="100">
        <v>0</v>
      </c>
      <c r="P171" s="100">
        <v>33000000</v>
      </c>
      <c r="Q171" s="100">
        <v>0</v>
      </c>
      <c r="R171" s="100">
        <v>0</v>
      </c>
      <c r="S171" s="150">
        <f>IF(D171="","-",VLOOKUP(D171,DATOS!$B$47:$C$48,2,0)-SUMIFS(P$2:P171,D$2:D171,D171))</f>
        <v>153167580</v>
      </c>
      <c r="T171" s="150">
        <f>IF(D171="","-",VLOOKUP(D171,DATOS!$B$47:$D$48,3,0)-SUMIFS(Q$2:Q171,D$2:D171,D171))</f>
        <v>150000000</v>
      </c>
      <c r="U171" s="150">
        <f>IF(D171="","-",VLOOKUP(D171,DATOS!$B$47:$E$48,4,0)-SUMIFS(R$2:R171,D$2:D171,D171))</f>
        <v>0</v>
      </c>
      <c r="V171" s="150">
        <f>IF(H171="","-",VLOOKUP(H171,DATOS!$D$52:$E$75,2,0)-SUMIFS(N$2:N171,H$2:H171,H171))</f>
        <v>273000000</v>
      </c>
      <c r="W171" s="83"/>
      <c r="X171" s="83"/>
      <c r="Y171" s="79" t="s">
        <v>423</v>
      </c>
      <c r="Z171" s="166" t="str">
        <f t="shared" si="61"/>
        <v>Prestar servicios profesionales en la Oficina de Control Interno del Archivo General de la Nación para la ejecución del plan anual de auditoría, seguimiento a planes de mejoramiento y a las políticas en el marco del Modelo Integrado de Planeación y Gestión. SG3</v>
      </c>
      <c r="AA171" s="71" t="s">
        <v>278</v>
      </c>
      <c r="AB171" s="71" t="s">
        <v>278</v>
      </c>
      <c r="AC171" s="71">
        <v>6</v>
      </c>
      <c r="AD171" s="71" t="s">
        <v>271</v>
      </c>
      <c r="AE171" s="72" t="str">
        <f t="shared" si="62"/>
        <v>Contratación directa</v>
      </c>
      <c r="AF171" s="72" t="str">
        <f t="shared" si="68"/>
        <v>Nación</v>
      </c>
      <c r="AG171" s="167">
        <f t="shared" si="69"/>
        <v>33000000</v>
      </c>
      <c r="AH171" s="167">
        <f t="shared" si="63"/>
        <v>33000000</v>
      </c>
      <c r="AI171" s="71" t="s">
        <v>272</v>
      </c>
      <c r="AJ171" s="71" t="s">
        <v>273</v>
      </c>
      <c r="AK171" s="72" t="s">
        <v>274</v>
      </c>
      <c r="AL171" s="71" t="s">
        <v>275</v>
      </c>
      <c r="AM171" s="79" t="s">
        <v>757</v>
      </c>
      <c r="AN171" s="79">
        <v>3282888</v>
      </c>
      <c r="AO171" s="169" t="s">
        <v>758</v>
      </c>
    </row>
    <row r="172" spans="1:41" ht="49.2" customHeight="1" x14ac:dyDescent="0.3">
      <c r="A172" s="83" t="s">
        <v>748</v>
      </c>
      <c r="B172" s="72" t="s">
        <v>163</v>
      </c>
      <c r="C172" s="72" t="s">
        <v>163</v>
      </c>
      <c r="D172" s="72" t="s">
        <v>224</v>
      </c>
      <c r="E172" s="73" t="str">
        <f>IFERROR(VLOOKUP(D172,DATOS!E:F,2,0),"-")</f>
        <v>PROY1</v>
      </c>
      <c r="F172" s="72" t="s">
        <v>176</v>
      </c>
      <c r="G172" s="73" t="str">
        <f>IFERROR(VLOOKUP(F172,DATOS!G:H,2,0),"-")</f>
        <v>C_3399_1603_6_20302D_3399056</v>
      </c>
      <c r="H172" s="72" t="s">
        <v>185</v>
      </c>
      <c r="I172" s="198" t="s">
        <v>753</v>
      </c>
      <c r="J172" s="72" t="s">
        <v>161</v>
      </c>
      <c r="K172" s="79">
        <v>10</v>
      </c>
      <c r="L172" s="76">
        <f t="shared" si="64"/>
        <v>7300000</v>
      </c>
      <c r="M172" s="83">
        <v>2</v>
      </c>
      <c r="N172" s="192">
        <f t="shared" si="65"/>
        <v>146000000</v>
      </c>
      <c r="O172" s="100">
        <v>0</v>
      </c>
      <c r="P172" s="100">
        <v>146000000</v>
      </c>
      <c r="Q172" s="100">
        <v>0</v>
      </c>
      <c r="R172" s="100">
        <v>0</v>
      </c>
      <c r="S172" s="150">
        <f>IF(D172="","-",VLOOKUP(D172,DATOS!$B$47:$C$48,2,0)-SUMIFS(P$2:P172,D$2:D172,D172))</f>
        <v>7167580</v>
      </c>
      <c r="T172" s="150">
        <f>IF(D172="","-",VLOOKUP(D172,DATOS!$B$47:$D$48,3,0)-SUMIFS(Q$2:Q172,D$2:D172,D172))</f>
        <v>150000000</v>
      </c>
      <c r="U172" s="150">
        <f>IF(D172="","-",VLOOKUP(D172,DATOS!$B$47:$E$48,4,0)-SUMIFS(R$2:R172,D$2:D172,D172))</f>
        <v>0</v>
      </c>
      <c r="V172" s="150">
        <f>IF(H172="","-",VLOOKUP(H172,DATOS!$D$52:$E$75,2,0)-SUMIFS(N$2:N172,H$2:H172,H172))</f>
        <v>127000000</v>
      </c>
      <c r="W172" s="83"/>
      <c r="X172" s="83"/>
      <c r="Y172" s="79" t="s">
        <v>423</v>
      </c>
      <c r="Z172" s="166" t="str">
        <f t="shared" si="61"/>
        <v>Prestar servicio profesional de abogado para apoyar la gestión pre-contractual del Archivo General de la Nación. SG4</v>
      </c>
      <c r="AA172" s="83" t="s">
        <v>292</v>
      </c>
      <c r="AB172" s="83" t="s">
        <v>292</v>
      </c>
      <c r="AC172" s="83">
        <v>10</v>
      </c>
      <c r="AD172" s="71" t="s">
        <v>271</v>
      </c>
      <c r="AE172" s="79" t="str">
        <f t="shared" si="62"/>
        <v>Contratación directa</v>
      </c>
      <c r="AF172" s="72" t="str">
        <f t="shared" si="68"/>
        <v>Nación</v>
      </c>
      <c r="AG172" s="167">
        <f t="shared" si="69"/>
        <v>146000000</v>
      </c>
      <c r="AH172" s="167">
        <f t="shared" si="63"/>
        <v>146000000</v>
      </c>
      <c r="AI172" s="71" t="s">
        <v>272</v>
      </c>
      <c r="AJ172" s="71" t="s">
        <v>273</v>
      </c>
      <c r="AK172" s="72" t="s">
        <v>274</v>
      </c>
      <c r="AL172" s="71" t="s">
        <v>275</v>
      </c>
      <c r="AM172" s="79" t="s">
        <v>616</v>
      </c>
      <c r="AN172" s="79">
        <v>3282888</v>
      </c>
      <c r="AO172" s="169" t="s">
        <v>759</v>
      </c>
    </row>
    <row r="173" spans="1:41" ht="71.400000000000006" customHeight="1" x14ac:dyDescent="0.3">
      <c r="A173" s="83" t="s">
        <v>749</v>
      </c>
      <c r="B173" s="72" t="s">
        <v>163</v>
      </c>
      <c r="C173" s="72" t="s">
        <v>163</v>
      </c>
      <c r="D173" s="72" t="s">
        <v>224</v>
      </c>
      <c r="E173" s="73" t="str">
        <f>IFERROR(VLOOKUP(D173,DATOS!E:F,2,0),"-")</f>
        <v>PROY1</v>
      </c>
      <c r="F173" s="72" t="s">
        <v>176</v>
      </c>
      <c r="G173" s="73" t="str">
        <f>IFERROR(VLOOKUP(F173,DATOS!G:H,2,0),"-")</f>
        <v>C_3399_1603_6_20302D_3399056</v>
      </c>
      <c r="H173" s="72" t="s">
        <v>184</v>
      </c>
      <c r="I173" s="198" t="s">
        <v>754</v>
      </c>
      <c r="J173" s="72" t="s">
        <v>161</v>
      </c>
      <c r="K173" s="79">
        <v>12</v>
      </c>
      <c r="L173" s="76">
        <f t="shared" si="64"/>
        <v>180631.66666666666</v>
      </c>
      <c r="M173" s="83">
        <v>1</v>
      </c>
      <c r="N173" s="192">
        <f t="shared" si="65"/>
        <v>2167580</v>
      </c>
      <c r="O173" s="100">
        <v>0</v>
      </c>
      <c r="P173" s="100">
        <v>0</v>
      </c>
      <c r="Q173" s="100">
        <f>30167580-28000000</f>
        <v>2167580</v>
      </c>
      <c r="R173" s="100">
        <v>0</v>
      </c>
      <c r="S173" s="150">
        <f>IF(D173="","-",VLOOKUP(D173,DATOS!$B$47:$C$48,2,0)-SUMIFS(P$2:P173,D$2:D173,D173))</f>
        <v>7167580</v>
      </c>
      <c r="T173" s="150">
        <f>IF(D173="","-",VLOOKUP(D173,DATOS!$B$47:$D$48,3,0)-SUMIFS(Q$2:Q173,D$2:D173,D173))</f>
        <v>147832420</v>
      </c>
      <c r="U173" s="150">
        <f>IF(D173="","-",VLOOKUP(D173,DATOS!$B$47:$E$48,4,0)-SUMIFS(R$2:R173,D$2:D173,D173))</f>
        <v>0</v>
      </c>
      <c r="V173" s="150">
        <f>IF(H173="","-",VLOOKUP(H173,DATOS!$D$52:$E$75,2,0)-SUMIFS(N$2:N173,H$2:H173,H173))</f>
        <v>28000000</v>
      </c>
      <c r="W173" s="83"/>
      <c r="X173" s="83"/>
      <c r="Y173" s="79" t="s">
        <v>760</v>
      </c>
      <c r="Z173" s="166" t="str">
        <f t="shared" si="61"/>
        <v>Implementar acciones para el desarrollo organizacional del proyecto de fortalecimiento de la gestion institucional. SG5</v>
      </c>
      <c r="AA173" s="83" t="s">
        <v>292</v>
      </c>
      <c r="AB173" s="83" t="s">
        <v>292</v>
      </c>
      <c r="AC173" s="83">
        <v>12</v>
      </c>
      <c r="AD173" s="71" t="s">
        <v>271</v>
      </c>
      <c r="AE173" s="79" t="str">
        <f t="shared" si="62"/>
        <v>Contratación directa</v>
      </c>
      <c r="AF173" s="72" t="str">
        <f t="shared" si="68"/>
        <v>Propios</v>
      </c>
      <c r="AG173" s="167">
        <f t="shared" si="69"/>
        <v>2167580</v>
      </c>
      <c r="AH173" s="167">
        <f t="shared" si="63"/>
        <v>2167580</v>
      </c>
      <c r="AI173" s="71" t="s">
        <v>272</v>
      </c>
      <c r="AJ173" s="71" t="s">
        <v>273</v>
      </c>
      <c r="AK173" s="72" t="s">
        <v>274</v>
      </c>
      <c r="AL173" s="71" t="s">
        <v>275</v>
      </c>
      <c r="AM173" s="79" t="s">
        <v>424</v>
      </c>
      <c r="AN173" s="79">
        <v>3282888</v>
      </c>
      <c r="AO173" s="169" t="s">
        <v>756</v>
      </c>
    </row>
    <row r="174" spans="1:41" ht="115.2" customHeight="1" x14ac:dyDescent="0.3">
      <c r="A174" s="83" t="s">
        <v>763</v>
      </c>
      <c r="B174" s="72" t="s">
        <v>163</v>
      </c>
      <c r="C174" s="72" t="s">
        <v>163</v>
      </c>
      <c r="D174" s="72" t="s">
        <v>224</v>
      </c>
      <c r="E174" s="73" t="str">
        <f>IFERROR(VLOOKUP(D174,DATOS!E:F,2,0),"-")</f>
        <v>PROY1</v>
      </c>
      <c r="F174" s="72" t="s">
        <v>176</v>
      </c>
      <c r="G174" s="73" t="str">
        <f>IFERROR(VLOOKUP(F174,DATOS!G:H,2,0),"-")</f>
        <v>C_3399_1603_6_20302D_3399056</v>
      </c>
      <c r="H174" s="72" t="s">
        <v>185</v>
      </c>
      <c r="I174" s="198" t="s">
        <v>766</v>
      </c>
      <c r="J174" s="72" t="s">
        <v>161</v>
      </c>
      <c r="K174" s="79">
        <v>11</v>
      </c>
      <c r="L174" s="76">
        <f t="shared" si="64"/>
        <v>3000000</v>
      </c>
      <c r="M174" s="83">
        <v>3</v>
      </c>
      <c r="N174" s="192">
        <f t="shared" si="65"/>
        <v>99000000</v>
      </c>
      <c r="O174" s="100">
        <v>0</v>
      </c>
      <c r="P174" s="100">
        <v>7167580</v>
      </c>
      <c r="Q174" s="100">
        <v>91832420</v>
      </c>
      <c r="R174" s="100">
        <v>0</v>
      </c>
      <c r="S174" s="150">
        <f>IF(D174="","-",VLOOKUP(D174,DATOS!$B$47:$C$48,2,0)-SUMIFS(P$2:P174,D$2:D174,D174))</f>
        <v>0</v>
      </c>
      <c r="T174" s="150">
        <f>IF(D174="","-",VLOOKUP(D174,DATOS!$B$47:$D$48,3,0)-SUMIFS(Q$2:Q174,D$2:D174,D174))</f>
        <v>56000000</v>
      </c>
      <c r="U174" s="150">
        <f>IF(D174="","-",VLOOKUP(D174,DATOS!$B$47:$E$48,4,0)-SUMIFS(R$2:R174,D$2:D174,D174))</f>
        <v>0</v>
      </c>
      <c r="V174" s="150">
        <f>IF(H174="","-",VLOOKUP(H174,DATOS!$D$52:$E$75,2,0)-SUMIFS(N$2:N174,H$2:H174,H174))</f>
        <v>28000000</v>
      </c>
      <c r="W174" s="83"/>
      <c r="X174" s="83"/>
      <c r="Y174" s="79">
        <v>80111600</v>
      </c>
      <c r="Z174" s="166" t="str">
        <f t="shared" si="61"/>
        <v>Contratar los servicios de apoyo técnico profesional para el registro, radicación, distribución y consulta de las comunicaciones oficiales y documentos institucionales que se reciben por los diferentes canales de recepción de la Entidad. SG6</v>
      </c>
      <c r="AA174" s="83" t="s">
        <v>292</v>
      </c>
      <c r="AB174" s="83" t="s">
        <v>292</v>
      </c>
      <c r="AC174" s="79">
        <v>11</v>
      </c>
      <c r="AD174" s="71" t="s">
        <v>271</v>
      </c>
      <c r="AE174" s="79" t="str">
        <f t="shared" si="62"/>
        <v>Contratación directa</v>
      </c>
      <c r="AF174" s="72" t="str">
        <f t="shared" ref="AF174:AF176" si="70">IF(SUM(O174:R174)=0,"-",IF(SUM(O174:P174)&gt;=SUM(Q174:R174),"Nación","Propios"))</f>
        <v>Propios</v>
      </c>
      <c r="AG174" s="167">
        <f t="shared" ref="AG174:AG176" si="71">AH174</f>
        <v>99000000</v>
      </c>
      <c r="AH174" s="167">
        <f t="shared" si="63"/>
        <v>99000000</v>
      </c>
      <c r="AI174" s="71" t="s">
        <v>272</v>
      </c>
      <c r="AJ174" s="71" t="s">
        <v>273</v>
      </c>
      <c r="AK174" s="72" t="s">
        <v>274</v>
      </c>
      <c r="AL174" s="71" t="s">
        <v>275</v>
      </c>
      <c r="AM174" s="202" t="s">
        <v>765</v>
      </c>
      <c r="AN174" s="203">
        <v>3282888</v>
      </c>
      <c r="AO174" s="170" t="s">
        <v>342</v>
      </c>
    </row>
    <row r="175" spans="1:41" ht="71.400000000000006" customHeight="1" x14ac:dyDescent="0.3">
      <c r="A175" s="83" t="s">
        <v>764</v>
      </c>
      <c r="B175" s="72" t="s">
        <v>163</v>
      </c>
      <c r="C175" s="72" t="s">
        <v>163</v>
      </c>
      <c r="D175" s="72" t="s">
        <v>224</v>
      </c>
      <c r="E175" s="73" t="str">
        <f>IFERROR(VLOOKUP(D175,DATOS!E:F,2,0),"-")</f>
        <v>PROY1</v>
      </c>
      <c r="F175" s="72" t="s">
        <v>176</v>
      </c>
      <c r="G175" s="73" t="str">
        <f>IFERROR(VLOOKUP(F175,DATOS!G:H,2,0),"-")</f>
        <v>C_3399_1603_6_20302D_3399056</v>
      </c>
      <c r="H175" s="72" t="s">
        <v>185</v>
      </c>
      <c r="I175" s="198" t="s">
        <v>767</v>
      </c>
      <c r="J175" s="72" t="s">
        <v>161</v>
      </c>
      <c r="K175" s="79">
        <v>8</v>
      </c>
      <c r="L175" s="76">
        <f t="shared" si="64"/>
        <v>3500000</v>
      </c>
      <c r="M175" s="83">
        <v>1</v>
      </c>
      <c r="N175" s="192">
        <f t="shared" si="65"/>
        <v>28000000</v>
      </c>
      <c r="O175" s="100">
        <v>0</v>
      </c>
      <c r="P175" s="100">
        <v>0</v>
      </c>
      <c r="Q175" s="100">
        <v>28000000</v>
      </c>
      <c r="R175" s="100">
        <v>0</v>
      </c>
      <c r="S175" s="150">
        <f>IF(D175="","-",VLOOKUP(D175,DATOS!$B$47:$C$48,2,0)-SUMIFS(P$2:P175,D$2:D175,D175))</f>
        <v>0</v>
      </c>
      <c r="T175" s="150">
        <f>IF(D175="","-",VLOOKUP(D175,DATOS!$B$47:$D$48,3,0)-SUMIFS(Q$2:Q175,D$2:D175,D175))</f>
        <v>28000000</v>
      </c>
      <c r="U175" s="150">
        <f>IF(D175="","-",VLOOKUP(D175,DATOS!$B$47:$E$48,4,0)-SUMIFS(R$2:R175,D$2:D175,D175))</f>
        <v>0</v>
      </c>
      <c r="V175" s="150">
        <f>IF(H175="","-",VLOOKUP(H175,DATOS!$D$52:$E$75,2,0)-SUMIFS(N$2:N175,H$2:H175,H175))</f>
        <v>0</v>
      </c>
      <c r="W175" s="83"/>
      <c r="X175" s="83"/>
      <c r="Y175" s="79">
        <v>80111600</v>
      </c>
      <c r="Z175" s="166" t="str">
        <f t="shared" si="61"/>
        <v>Contratar los servicios de apoyo técnico profesional para la aplicación de las Tablas de Retención Documental del Archivo Central conforme el Inventario Documental. SG7</v>
      </c>
      <c r="AA175" s="83" t="s">
        <v>278</v>
      </c>
      <c r="AB175" s="83" t="s">
        <v>277</v>
      </c>
      <c r="AC175" s="79">
        <v>8</v>
      </c>
      <c r="AD175" s="71" t="s">
        <v>271</v>
      </c>
      <c r="AE175" s="79" t="str">
        <f t="shared" si="62"/>
        <v>Contratación directa</v>
      </c>
      <c r="AF175" s="72" t="str">
        <f t="shared" si="70"/>
        <v>Propios</v>
      </c>
      <c r="AG175" s="167">
        <f t="shared" si="71"/>
        <v>28000000</v>
      </c>
      <c r="AH175" s="167">
        <f t="shared" si="63"/>
        <v>28000000</v>
      </c>
      <c r="AI175" s="71" t="s">
        <v>272</v>
      </c>
      <c r="AJ175" s="71" t="s">
        <v>273</v>
      </c>
      <c r="AK175" s="72" t="s">
        <v>274</v>
      </c>
      <c r="AL175" s="71" t="s">
        <v>275</v>
      </c>
      <c r="AM175" s="202" t="s">
        <v>765</v>
      </c>
      <c r="AN175" s="203">
        <v>3282888</v>
      </c>
      <c r="AO175" s="170" t="s">
        <v>342</v>
      </c>
    </row>
    <row r="176" spans="1:41" ht="107.4" customHeight="1" x14ac:dyDescent="0.3">
      <c r="A176" s="83" t="s">
        <v>804</v>
      </c>
      <c r="B176" s="72" t="s">
        <v>163</v>
      </c>
      <c r="C176" s="72" t="s">
        <v>163</v>
      </c>
      <c r="D176" s="72" t="s">
        <v>224</v>
      </c>
      <c r="E176" s="73" t="str">
        <f>IFERROR(VLOOKUP(D176,DATOS!E:F,2,0),"-")</f>
        <v>PROY1</v>
      </c>
      <c r="F176" s="72" t="s">
        <v>176</v>
      </c>
      <c r="G176" s="73" t="str">
        <f>IFERROR(VLOOKUP(F176,DATOS!G:H,2,0),"-")</f>
        <v>C_3399_1603_6_20302D_3399056</v>
      </c>
      <c r="H176" s="72" t="s">
        <v>184</v>
      </c>
      <c r="I176" s="198" t="s">
        <v>805</v>
      </c>
      <c r="J176" s="72" t="s">
        <v>161</v>
      </c>
      <c r="K176" s="79">
        <v>4</v>
      </c>
      <c r="L176" s="76">
        <f t="shared" ref="L176" si="72">(N176/M176)/K176</f>
        <v>7000000</v>
      </c>
      <c r="M176" s="83">
        <v>1</v>
      </c>
      <c r="N176" s="192">
        <f t="shared" ref="N176" si="73">IF(SUM(O176:R176)=0,"-",SUM(O176:R176))</f>
        <v>28000000</v>
      </c>
      <c r="O176" s="100">
        <v>0</v>
      </c>
      <c r="P176" s="100">
        <v>0</v>
      </c>
      <c r="Q176" s="100">
        <v>28000000</v>
      </c>
      <c r="R176" s="100">
        <v>0</v>
      </c>
      <c r="S176" s="150">
        <f>IF(D176="","-",VLOOKUP(D176,DATOS!$B$47:$C$48,2,0)-SUMIFS(P$2:P176,D$2:D176,D176))</f>
        <v>0</v>
      </c>
      <c r="T176" s="150">
        <f>IF(D176="","-",VLOOKUP(D176,DATOS!$B$47:$D$48,3,0)-SUMIFS(Q$2:Q176,D$2:D176,D176))</f>
        <v>0</v>
      </c>
      <c r="U176" s="150">
        <f>IF(D176="","-",VLOOKUP(D176,DATOS!$B$47:$E$48,4,0)-SUMIFS(R$2:R176,D$2:D176,D176))</f>
        <v>0</v>
      </c>
      <c r="V176" s="150">
        <f>IF(H176="","-",VLOOKUP(H176,DATOS!$D$52:$E$75,2,0)-SUMIFS(N$2:N176,H$2:H176,H176))</f>
        <v>0</v>
      </c>
      <c r="W176" s="83"/>
      <c r="X176" s="83"/>
      <c r="Y176" s="89" t="s">
        <v>806</v>
      </c>
      <c r="Z176" s="166" t="str">
        <f t="shared" si="61"/>
        <v>Prestar servicios profesionales al Archivo general de la Nación, para apoyar las fase final de la transformación institucional de la Entidad a través de la facilitación en la elaboración de documentos definitivos que permitan adelantar el rediseño institucional. SG8</v>
      </c>
      <c r="AA176" s="83" t="s">
        <v>292</v>
      </c>
      <c r="AB176" s="83" t="s">
        <v>292</v>
      </c>
      <c r="AC176" s="83">
        <v>4</v>
      </c>
      <c r="AD176" s="71" t="s">
        <v>271</v>
      </c>
      <c r="AE176" s="79" t="str">
        <f t="shared" si="62"/>
        <v>Contratación directa</v>
      </c>
      <c r="AF176" s="72" t="str">
        <f t="shared" si="70"/>
        <v>Propios</v>
      </c>
      <c r="AG176" s="167">
        <f t="shared" si="71"/>
        <v>28000000</v>
      </c>
      <c r="AH176" s="167">
        <f t="shared" si="63"/>
        <v>28000000</v>
      </c>
      <c r="AI176" s="71" t="s">
        <v>272</v>
      </c>
      <c r="AJ176" s="71" t="s">
        <v>273</v>
      </c>
      <c r="AK176" s="72" t="s">
        <v>274</v>
      </c>
      <c r="AL176" s="71" t="s">
        <v>275</v>
      </c>
      <c r="AM176" s="79" t="s">
        <v>424</v>
      </c>
      <c r="AN176" s="79">
        <v>3282888</v>
      </c>
      <c r="AO176" s="169" t="s">
        <v>756</v>
      </c>
    </row>
    <row r="177" spans="1:41" ht="63.75" customHeight="1" x14ac:dyDescent="0.3">
      <c r="A177" s="83"/>
      <c r="B177" s="72"/>
      <c r="C177" s="72"/>
      <c r="D177" s="72"/>
      <c r="E177" s="73">
        <f>IFERROR(VLOOKUP(D177,DATOS!E:F,2,0),"-")</f>
        <v>0</v>
      </c>
      <c r="F177" s="72"/>
      <c r="G177" s="73" t="str">
        <f>IFERROR(VLOOKUP(F177,DATOS!G:H,2,0),"-")</f>
        <v>-</v>
      </c>
      <c r="H177" s="72"/>
      <c r="I177" s="72"/>
      <c r="J177" s="72"/>
      <c r="K177" s="105"/>
      <c r="L177" s="99"/>
      <c r="M177" s="83"/>
      <c r="N177" s="199">
        <f>SUM(N2:N176)</f>
        <v>30516575012</v>
      </c>
      <c r="O177" s="201">
        <f>SUM(O2:O176)</f>
        <v>0</v>
      </c>
      <c r="P177" s="201">
        <f>SUM(P2:P176)</f>
        <v>24372283741</v>
      </c>
      <c r="Q177" s="201">
        <f t="shared" ref="Q177:R177" si="74">SUM(Q2:Q176)</f>
        <v>4807477388</v>
      </c>
      <c r="R177" s="201">
        <f t="shared" si="74"/>
        <v>1336813883</v>
      </c>
      <c r="S177" s="101"/>
      <c r="T177" s="101"/>
      <c r="U177" s="101"/>
      <c r="V177" s="101"/>
      <c r="W177" s="83"/>
      <c r="X177" s="83"/>
      <c r="Y177" s="79"/>
      <c r="Z177" s="102"/>
      <c r="AA177" s="83"/>
      <c r="AB177" s="83"/>
      <c r="AC177" s="83"/>
      <c r="AD177" s="83"/>
      <c r="AE177" s="79" t="str">
        <f t="shared" si="62"/>
        <v/>
      </c>
      <c r="AF177" s="98" t="str">
        <f t="shared" ref="AF177:AF223" si="75">IF(SUM(Q296:T296)=0,"-",IF(SUM(Q296:R296)&gt;=SUM(S296:T296),"Nación","Propios"))</f>
        <v>-</v>
      </c>
      <c r="AG177" s="103"/>
      <c r="AH177" s="103"/>
      <c r="AI177" s="83"/>
      <c r="AJ177" s="83"/>
      <c r="AK177" s="71"/>
      <c r="AL177" s="71"/>
      <c r="AM177" s="89"/>
      <c r="AN177" s="79"/>
      <c r="AO177" s="89"/>
    </row>
    <row r="178" spans="1:41" ht="63.75" customHeight="1" x14ac:dyDescent="0.3">
      <c r="A178" s="83"/>
      <c r="B178" s="72"/>
      <c r="C178" s="72"/>
      <c r="D178" s="72"/>
      <c r="E178" s="73">
        <f>IFERROR(VLOOKUP(D178,DATOS!E:F,2,0),"-")</f>
        <v>0</v>
      </c>
      <c r="F178" s="72"/>
      <c r="G178" s="73" t="str">
        <f>IFERROR(VLOOKUP(F178,DATOS!G:H,2,0),"-")</f>
        <v>-</v>
      </c>
      <c r="H178" s="72"/>
      <c r="I178" s="72"/>
      <c r="J178" s="72"/>
      <c r="K178" s="105"/>
      <c r="L178" s="99"/>
      <c r="M178" s="83"/>
      <c r="N178" s="84" t="str">
        <f t="shared" ref="N178:N222" si="76">IF(SUM(O178:R178)=0,"-",SUM(O178:R178))</f>
        <v>-</v>
      </c>
      <c r="O178" s="100"/>
      <c r="P178" s="100"/>
      <c r="Q178" s="100"/>
      <c r="R178" s="100"/>
      <c r="S178" s="101"/>
      <c r="T178" s="101"/>
      <c r="U178" s="101"/>
      <c r="V178" s="101"/>
      <c r="W178" s="83"/>
      <c r="X178" s="83"/>
      <c r="Y178" s="79"/>
      <c r="Z178" s="102"/>
      <c r="AA178" s="83"/>
      <c r="AB178" s="83"/>
      <c r="AC178" s="83"/>
      <c r="AD178" s="83"/>
      <c r="AE178" s="79" t="str">
        <f t="shared" si="62"/>
        <v/>
      </c>
      <c r="AF178" s="98" t="str">
        <f t="shared" si="75"/>
        <v>-</v>
      </c>
      <c r="AG178" s="103"/>
      <c r="AH178" s="103"/>
      <c r="AI178" s="83"/>
      <c r="AJ178" s="83"/>
      <c r="AK178" s="71"/>
      <c r="AL178" s="71"/>
      <c r="AM178" s="89"/>
      <c r="AN178" s="79"/>
      <c r="AO178" s="89"/>
    </row>
    <row r="179" spans="1:41" ht="63.75" customHeight="1" x14ac:dyDescent="0.3">
      <c r="A179" s="83"/>
      <c r="B179" s="72"/>
      <c r="C179" s="72"/>
      <c r="D179" s="72"/>
      <c r="E179" s="73">
        <f>IFERROR(VLOOKUP(D179,DATOS!E:F,2,0),"-")</f>
        <v>0</v>
      </c>
      <c r="F179" s="72"/>
      <c r="G179" s="73" t="str">
        <f>IFERROR(VLOOKUP(F179,DATOS!G:H,2,0),"-")</f>
        <v>-</v>
      </c>
      <c r="H179" s="72"/>
      <c r="I179" s="72"/>
      <c r="J179" s="71"/>
      <c r="K179" s="105"/>
      <c r="L179" s="99"/>
      <c r="M179" s="83"/>
      <c r="N179" s="84" t="str">
        <f t="shared" si="76"/>
        <v>-</v>
      </c>
      <c r="O179" s="100"/>
      <c r="P179" s="100"/>
      <c r="Q179" s="100"/>
      <c r="R179" s="100"/>
      <c r="S179" s="101"/>
      <c r="T179" s="101"/>
      <c r="U179" s="101"/>
      <c r="V179" s="101"/>
      <c r="W179" s="83"/>
      <c r="X179" s="83"/>
      <c r="Y179" s="83"/>
      <c r="Z179" s="102"/>
      <c r="AA179" s="83"/>
      <c r="AB179" s="83"/>
      <c r="AC179" s="83"/>
      <c r="AD179" s="99"/>
      <c r="AE179" s="99" t="str">
        <f t="shared" si="62"/>
        <v/>
      </c>
      <c r="AF179" s="98" t="str">
        <f t="shared" si="75"/>
        <v>-</v>
      </c>
      <c r="AG179" s="103"/>
      <c r="AH179" s="103"/>
      <c r="AI179" s="83"/>
      <c r="AJ179" s="83"/>
      <c r="AK179" s="71"/>
      <c r="AL179" s="71"/>
      <c r="AM179" s="89"/>
      <c r="AN179" s="79"/>
      <c r="AO179" s="89"/>
    </row>
    <row r="180" spans="1:41" ht="63.75" customHeight="1" x14ac:dyDescent="0.3">
      <c r="A180" s="79"/>
      <c r="B180" s="72"/>
      <c r="C180" s="72"/>
      <c r="D180" s="72"/>
      <c r="E180" s="73">
        <f>IFERROR(VLOOKUP(D180,DATOS!E:F,2,0),"-")</f>
        <v>0</v>
      </c>
      <c r="F180" s="72"/>
      <c r="G180" s="73" t="str">
        <f>IFERROR(VLOOKUP(F180,DATOS!G:H,2,0),"-")</f>
        <v>-</v>
      </c>
      <c r="H180" s="72"/>
      <c r="I180" s="72"/>
      <c r="J180" s="72"/>
      <c r="K180" s="105"/>
      <c r="L180" s="99"/>
      <c r="M180" s="83"/>
      <c r="N180" s="84" t="str">
        <f t="shared" si="76"/>
        <v>-</v>
      </c>
      <c r="O180" s="100"/>
      <c r="P180" s="100"/>
      <c r="Q180" s="100"/>
      <c r="R180" s="100"/>
      <c r="S180" s="101"/>
      <c r="T180" s="101"/>
      <c r="U180" s="101"/>
      <c r="V180" s="101"/>
      <c r="W180" s="83"/>
      <c r="X180" s="83"/>
      <c r="Y180" s="79"/>
      <c r="Z180" s="102"/>
      <c r="AA180" s="83"/>
      <c r="AB180" s="83"/>
      <c r="AC180" s="83"/>
      <c r="AD180" s="83"/>
      <c r="AE180" s="79" t="str">
        <f t="shared" si="62"/>
        <v/>
      </c>
      <c r="AF180" s="98" t="str">
        <f t="shared" si="75"/>
        <v>-</v>
      </c>
      <c r="AG180" s="103"/>
      <c r="AH180" s="103"/>
      <c r="AI180" s="83"/>
      <c r="AJ180" s="83"/>
      <c r="AK180" s="71"/>
      <c r="AL180" s="71"/>
      <c r="AM180" s="72"/>
      <c r="AN180" s="79"/>
      <c r="AO180" s="79"/>
    </row>
    <row r="181" spans="1:41" ht="63.75" customHeight="1" x14ac:dyDescent="0.3">
      <c r="A181" s="83"/>
      <c r="B181" s="72"/>
      <c r="C181" s="72"/>
      <c r="D181" s="72"/>
      <c r="E181" s="73">
        <f>IFERROR(VLOOKUP(D181,DATOS!E:F,2,0),"-")</f>
        <v>0</v>
      </c>
      <c r="F181" s="72"/>
      <c r="G181" s="73" t="str">
        <f>IFERROR(VLOOKUP(F181,DATOS!G:H,2,0),"-")</f>
        <v>-</v>
      </c>
      <c r="H181" s="72"/>
      <c r="I181" s="72"/>
      <c r="J181" s="72"/>
      <c r="K181" s="105"/>
      <c r="L181" s="99"/>
      <c r="M181" s="83"/>
      <c r="N181" s="84" t="str">
        <f t="shared" si="76"/>
        <v>-</v>
      </c>
      <c r="O181" s="100"/>
      <c r="P181" s="100"/>
      <c r="Q181" s="100"/>
      <c r="R181" s="100"/>
      <c r="S181" s="101"/>
      <c r="T181" s="101"/>
      <c r="U181" s="101"/>
      <c r="V181" s="101"/>
      <c r="W181" s="83"/>
      <c r="X181" s="83"/>
      <c r="Y181" s="79"/>
      <c r="Z181" s="102"/>
      <c r="AA181" s="83"/>
      <c r="AB181" s="83"/>
      <c r="AC181" s="83"/>
      <c r="AD181" s="83"/>
      <c r="AE181" s="79" t="str">
        <f t="shared" si="62"/>
        <v/>
      </c>
      <c r="AF181" s="98" t="str">
        <f t="shared" si="75"/>
        <v>-</v>
      </c>
      <c r="AG181" s="103"/>
      <c r="AH181" s="103"/>
      <c r="AI181" s="83"/>
      <c r="AJ181" s="83"/>
      <c r="AK181" s="71"/>
      <c r="AL181" s="71"/>
      <c r="AM181" s="89"/>
      <c r="AN181" s="79"/>
      <c r="AO181" s="89"/>
    </row>
    <row r="182" spans="1:41" ht="63.75" customHeight="1" x14ac:dyDescent="0.3">
      <c r="A182" s="83"/>
      <c r="B182" s="72"/>
      <c r="C182" s="72"/>
      <c r="D182" s="72"/>
      <c r="E182" s="73">
        <f>IFERROR(VLOOKUP(D182,DATOS!E:F,2,0),"-")</f>
        <v>0</v>
      </c>
      <c r="F182" s="72"/>
      <c r="G182" s="73" t="str">
        <f>IFERROR(VLOOKUP(F182,DATOS!G:H,2,0),"-")</f>
        <v>-</v>
      </c>
      <c r="H182" s="72"/>
      <c r="I182" s="72"/>
      <c r="J182" s="72"/>
      <c r="K182" s="105"/>
      <c r="L182" s="99"/>
      <c r="M182" s="83"/>
      <c r="N182" s="84" t="str">
        <f t="shared" si="76"/>
        <v>-</v>
      </c>
      <c r="O182" s="100"/>
      <c r="P182" s="100"/>
      <c r="Q182" s="100"/>
      <c r="R182" s="100"/>
      <c r="S182" s="101"/>
      <c r="T182" s="101"/>
      <c r="U182" s="101"/>
      <c r="V182" s="101"/>
      <c r="W182" s="83"/>
      <c r="X182" s="83"/>
      <c r="Y182" s="79"/>
      <c r="Z182" s="102"/>
      <c r="AA182" s="83"/>
      <c r="AB182" s="83"/>
      <c r="AC182" s="83"/>
      <c r="AD182" s="83"/>
      <c r="AE182" s="79" t="str">
        <f t="shared" si="62"/>
        <v/>
      </c>
      <c r="AF182" s="98" t="str">
        <f t="shared" si="75"/>
        <v>-</v>
      </c>
      <c r="AG182" s="103"/>
      <c r="AH182" s="103"/>
      <c r="AI182" s="83"/>
      <c r="AJ182" s="83"/>
      <c r="AK182" s="71"/>
      <c r="AL182" s="71"/>
      <c r="AM182" s="89"/>
      <c r="AN182" s="79"/>
      <c r="AO182" s="89"/>
    </row>
    <row r="183" spans="1:41" ht="63.75" customHeight="1" x14ac:dyDescent="0.3">
      <c r="A183" s="83"/>
      <c r="B183" s="72"/>
      <c r="C183" s="72"/>
      <c r="D183" s="72"/>
      <c r="E183" s="73">
        <f>IFERROR(VLOOKUP(D183,DATOS!E:F,2,0),"-")</f>
        <v>0</v>
      </c>
      <c r="F183" s="72"/>
      <c r="G183" s="73" t="str">
        <f>IFERROR(VLOOKUP(F183,DATOS!G:H,2,0),"-")</f>
        <v>-</v>
      </c>
      <c r="H183" s="72"/>
      <c r="I183" s="72"/>
      <c r="J183" s="72"/>
      <c r="K183" s="105"/>
      <c r="L183" s="99"/>
      <c r="M183" s="83"/>
      <c r="N183" s="84" t="str">
        <f t="shared" si="76"/>
        <v>-</v>
      </c>
      <c r="O183" s="100"/>
      <c r="P183" s="100"/>
      <c r="Q183" s="100"/>
      <c r="R183" s="100"/>
      <c r="S183" s="101"/>
      <c r="T183" s="101"/>
      <c r="U183" s="101"/>
      <c r="V183" s="101"/>
      <c r="W183" s="83"/>
      <c r="X183" s="83"/>
      <c r="Y183" s="79"/>
      <c r="Z183" s="102"/>
      <c r="AA183" s="83"/>
      <c r="AB183" s="83"/>
      <c r="AC183" s="83"/>
      <c r="AD183" s="83"/>
      <c r="AE183" s="79" t="str">
        <f t="shared" si="62"/>
        <v/>
      </c>
      <c r="AF183" s="98" t="str">
        <f t="shared" si="75"/>
        <v>-</v>
      </c>
      <c r="AG183" s="103"/>
      <c r="AH183" s="103"/>
      <c r="AI183" s="83"/>
      <c r="AJ183" s="83"/>
      <c r="AK183" s="71"/>
      <c r="AL183" s="71"/>
      <c r="AM183" s="89"/>
      <c r="AN183" s="79"/>
      <c r="AO183" s="89"/>
    </row>
    <row r="184" spans="1:41" ht="63.75" customHeight="1" x14ac:dyDescent="0.3">
      <c r="A184" s="83"/>
      <c r="B184" s="72"/>
      <c r="C184" s="72"/>
      <c r="D184" s="72"/>
      <c r="E184" s="73">
        <f>IFERROR(VLOOKUP(D184,DATOS!E:F,2,0),"-")</f>
        <v>0</v>
      </c>
      <c r="F184" s="72"/>
      <c r="G184" s="73" t="str">
        <f>IFERROR(VLOOKUP(F184,DATOS!G:H,2,0),"-")</f>
        <v>-</v>
      </c>
      <c r="H184" s="72"/>
      <c r="I184" s="72"/>
      <c r="J184" s="72"/>
      <c r="K184" s="79"/>
      <c r="L184" s="99"/>
      <c r="M184" s="83"/>
      <c r="N184" s="84" t="str">
        <f t="shared" si="76"/>
        <v>-</v>
      </c>
      <c r="O184" s="100"/>
      <c r="P184" s="100"/>
      <c r="Q184" s="100"/>
      <c r="R184" s="100"/>
      <c r="S184" s="101"/>
      <c r="T184" s="101"/>
      <c r="U184" s="101"/>
      <c r="V184" s="101"/>
      <c r="W184" s="83"/>
      <c r="X184" s="83"/>
      <c r="Y184" s="79"/>
      <c r="Z184" s="102"/>
      <c r="AA184" s="83"/>
      <c r="AB184" s="83"/>
      <c r="AC184" s="83"/>
      <c r="AD184" s="83"/>
      <c r="AE184" s="79" t="str">
        <f t="shared" ref="AE184:AE215" si="77">IF(J184="","",J184)</f>
        <v/>
      </c>
      <c r="AF184" s="98" t="str">
        <f t="shared" si="75"/>
        <v>-</v>
      </c>
      <c r="AG184" s="103"/>
      <c r="AH184" s="103"/>
      <c r="AI184" s="83"/>
      <c r="AJ184" s="83"/>
      <c r="AK184" s="71"/>
      <c r="AL184" s="71"/>
      <c r="AM184" s="89"/>
      <c r="AN184" s="79"/>
      <c r="AO184" s="89"/>
    </row>
    <row r="185" spans="1:41" ht="63.75" customHeight="1" x14ac:dyDescent="0.3">
      <c r="A185" s="83"/>
      <c r="B185" s="72"/>
      <c r="C185" s="72"/>
      <c r="D185" s="72"/>
      <c r="E185" s="73">
        <f>IFERROR(VLOOKUP(D185,DATOS!E:F,2,0),"-")</f>
        <v>0</v>
      </c>
      <c r="F185" s="72"/>
      <c r="G185" s="73" t="str">
        <f>IFERROR(VLOOKUP(F185,DATOS!G:H,2,0),"-")</f>
        <v>-</v>
      </c>
      <c r="H185" s="72"/>
      <c r="I185" s="72"/>
      <c r="J185" s="72"/>
      <c r="K185" s="105"/>
      <c r="L185" s="99"/>
      <c r="M185" s="83"/>
      <c r="N185" s="84" t="str">
        <f t="shared" si="76"/>
        <v>-</v>
      </c>
      <c r="O185" s="100"/>
      <c r="P185" s="100"/>
      <c r="Q185" s="100"/>
      <c r="R185" s="100"/>
      <c r="S185" s="101"/>
      <c r="T185" s="101"/>
      <c r="U185" s="101"/>
      <c r="V185" s="101"/>
      <c r="W185" s="83"/>
      <c r="X185" s="83"/>
      <c r="Y185" s="79"/>
      <c r="Z185" s="102"/>
      <c r="AA185" s="83"/>
      <c r="AB185" s="83"/>
      <c r="AC185" s="83"/>
      <c r="AD185" s="83"/>
      <c r="AE185" s="79" t="str">
        <f t="shared" si="77"/>
        <v/>
      </c>
      <c r="AF185" s="98" t="str">
        <f t="shared" si="75"/>
        <v>-</v>
      </c>
      <c r="AG185" s="103"/>
      <c r="AH185" s="103"/>
      <c r="AI185" s="83"/>
      <c r="AJ185" s="83"/>
      <c r="AK185" s="71"/>
      <c r="AL185" s="71"/>
      <c r="AM185" s="89"/>
      <c r="AN185" s="79"/>
      <c r="AO185" s="89"/>
    </row>
    <row r="186" spans="1:41" ht="63.75" customHeight="1" x14ac:dyDescent="0.3">
      <c r="A186" s="83"/>
      <c r="B186" s="72"/>
      <c r="C186" s="72"/>
      <c r="D186" s="72"/>
      <c r="E186" s="73">
        <f>IFERROR(VLOOKUP(D186,DATOS!E:F,2,0),"-")</f>
        <v>0</v>
      </c>
      <c r="F186" s="72"/>
      <c r="G186" s="73" t="str">
        <f>IFERROR(VLOOKUP(F186,DATOS!G:H,2,0),"-")</f>
        <v>-</v>
      </c>
      <c r="H186" s="72"/>
      <c r="I186" s="72"/>
      <c r="J186" s="72"/>
      <c r="K186" s="105"/>
      <c r="L186" s="99"/>
      <c r="M186" s="83"/>
      <c r="N186" s="84" t="str">
        <f t="shared" si="76"/>
        <v>-</v>
      </c>
      <c r="O186" s="100"/>
      <c r="P186" s="100"/>
      <c r="Q186" s="100"/>
      <c r="R186" s="100"/>
      <c r="S186" s="101"/>
      <c r="T186" s="101"/>
      <c r="U186" s="101"/>
      <c r="V186" s="101"/>
      <c r="W186" s="83"/>
      <c r="X186" s="83"/>
      <c r="Y186" s="79"/>
      <c r="Z186" s="102"/>
      <c r="AA186" s="83"/>
      <c r="AB186" s="83"/>
      <c r="AC186" s="83"/>
      <c r="AD186" s="83"/>
      <c r="AE186" s="79" t="str">
        <f t="shared" si="77"/>
        <v/>
      </c>
      <c r="AF186" s="98" t="str">
        <f t="shared" si="75"/>
        <v>-</v>
      </c>
      <c r="AG186" s="103"/>
      <c r="AH186" s="103"/>
      <c r="AI186" s="83"/>
      <c r="AJ186" s="83"/>
      <c r="AK186" s="71"/>
      <c r="AL186" s="71"/>
      <c r="AM186" s="89"/>
      <c r="AN186" s="79"/>
      <c r="AO186" s="89"/>
    </row>
    <row r="187" spans="1:41" ht="63.75" customHeight="1" x14ac:dyDescent="0.3">
      <c r="A187" s="83"/>
      <c r="B187" s="72"/>
      <c r="C187" s="72"/>
      <c r="D187" s="72"/>
      <c r="E187" s="73">
        <f>IFERROR(VLOOKUP(D187,DATOS!E:F,2,0),"-")</f>
        <v>0</v>
      </c>
      <c r="F187" s="72"/>
      <c r="G187" s="73" t="str">
        <f>IFERROR(VLOOKUP(F187,DATOS!G:H,2,0),"-")</f>
        <v>-</v>
      </c>
      <c r="H187" s="72"/>
      <c r="I187" s="72"/>
      <c r="J187" s="72"/>
      <c r="K187" s="105"/>
      <c r="L187" s="99"/>
      <c r="M187" s="83"/>
      <c r="N187" s="84" t="str">
        <f t="shared" si="76"/>
        <v>-</v>
      </c>
      <c r="O187" s="100"/>
      <c r="P187" s="100"/>
      <c r="Q187" s="100"/>
      <c r="R187" s="100"/>
      <c r="S187" s="101"/>
      <c r="T187" s="101"/>
      <c r="U187" s="101"/>
      <c r="V187" s="101"/>
      <c r="W187" s="83"/>
      <c r="X187" s="83"/>
      <c r="Y187" s="79"/>
      <c r="Z187" s="102"/>
      <c r="AA187" s="83"/>
      <c r="AB187" s="83"/>
      <c r="AC187" s="83"/>
      <c r="AD187" s="83"/>
      <c r="AE187" s="79" t="str">
        <f t="shared" si="77"/>
        <v/>
      </c>
      <c r="AF187" s="98" t="str">
        <f t="shared" si="75"/>
        <v>-</v>
      </c>
      <c r="AG187" s="103"/>
      <c r="AH187" s="103"/>
      <c r="AI187" s="83"/>
      <c r="AJ187" s="83"/>
      <c r="AK187" s="71"/>
      <c r="AL187" s="71"/>
      <c r="AM187" s="89"/>
      <c r="AN187" s="79"/>
      <c r="AO187" s="89"/>
    </row>
    <row r="188" spans="1:41" ht="63.75" customHeight="1" x14ac:dyDescent="0.3">
      <c r="A188" s="83"/>
      <c r="B188" s="72"/>
      <c r="C188" s="72"/>
      <c r="D188" s="72"/>
      <c r="E188" s="73">
        <f>IFERROR(VLOOKUP(D188,DATOS!E:F,2,0),"-")</f>
        <v>0</v>
      </c>
      <c r="F188" s="72"/>
      <c r="G188" s="73" t="str">
        <f>IFERROR(VLOOKUP(F188,DATOS!G:H,2,0),"-")</f>
        <v>-</v>
      </c>
      <c r="H188" s="72"/>
      <c r="I188" s="72"/>
      <c r="J188" s="72"/>
      <c r="K188" s="105"/>
      <c r="L188" s="99"/>
      <c r="M188" s="83"/>
      <c r="N188" s="84" t="str">
        <f t="shared" si="76"/>
        <v>-</v>
      </c>
      <c r="O188" s="100"/>
      <c r="P188" s="100"/>
      <c r="Q188" s="100"/>
      <c r="R188" s="100"/>
      <c r="S188" s="101"/>
      <c r="T188" s="101"/>
      <c r="U188" s="101"/>
      <c r="V188" s="101"/>
      <c r="W188" s="83"/>
      <c r="X188" s="83"/>
      <c r="Y188" s="79"/>
      <c r="Z188" s="102"/>
      <c r="AA188" s="79"/>
      <c r="AB188" s="79"/>
      <c r="AC188" s="83"/>
      <c r="AD188" s="79"/>
      <c r="AE188" s="79" t="str">
        <f t="shared" si="77"/>
        <v/>
      </c>
      <c r="AF188" s="98" t="str">
        <f t="shared" si="75"/>
        <v>-</v>
      </c>
      <c r="AG188" s="103"/>
      <c r="AH188" s="103"/>
      <c r="AI188" s="83"/>
      <c r="AJ188" s="83"/>
      <c r="AK188" s="71"/>
      <c r="AL188" s="71"/>
      <c r="AM188" s="89"/>
      <c r="AN188" s="79"/>
      <c r="AO188" s="89"/>
    </row>
    <row r="189" spans="1:41" ht="76.5" customHeight="1" x14ac:dyDescent="0.3">
      <c r="A189" s="83"/>
      <c r="B189" s="72"/>
      <c r="C189" s="72"/>
      <c r="D189" s="72"/>
      <c r="E189" s="73">
        <f>IFERROR(VLOOKUP(D189,DATOS!E:F,2,0),"-")</f>
        <v>0</v>
      </c>
      <c r="F189" s="72"/>
      <c r="G189" s="73" t="str">
        <f>IFERROR(VLOOKUP(F189,DATOS!G:H,2,0),"-")</f>
        <v>-</v>
      </c>
      <c r="H189" s="72"/>
      <c r="I189" s="72"/>
      <c r="J189" s="72"/>
      <c r="K189" s="83"/>
      <c r="L189" s="99"/>
      <c r="M189" s="83"/>
      <c r="N189" s="84" t="str">
        <f t="shared" si="76"/>
        <v>-</v>
      </c>
      <c r="O189" s="100"/>
      <c r="P189" s="100"/>
      <c r="Q189" s="100"/>
      <c r="R189" s="100"/>
      <c r="S189" s="101"/>
      <c r="T189" s="101"/>
      <c r="U189" s="101"/>
      <c r="V189" s="101"/>
      <c r="W189" s="83"/>
      <c r="X189" s="83"/>
      <c r="Y189" s="79"/>
      <c r="Z189" s="102"/>
      <c r="AA189" s="83"/>
      <c r="AB189" s="83"/>
      <c r="AC189" s="83"/>
      <c r="AD189" s="83"/>
      <c r="AE189" s="79" t="str">
        <f t="shared" si="77"/>
        <v/>
      </c>
      <c r="AF189" s="79" t="str">
        <f t="shared" si="75"/>
        <v>-</v>
      </c>
      <c r="AG189" s="103"/>
      <c r="AH189" s="103"/>
      <c r="AI189" s="83"/>
      <c r="AJ189" s="83"/>
      <c r="AK189" s="71"/>
      <c r="AL189" s="71"/>
      <c r="AM189" s="72"/>
      <c r="AN189" s="79"/>
      <c r="AO189" s="91"/>
    </row>
    <row r="190" spans="1:41" ht="63.75" customHeight="1" x14ac:dyDescent="0.3">
      <c r="A190" s="83"/>
      <c r="B190" s="72"/>
      <c r="C190" s="72"/>
      <c r="D190" s="72"/>
      <c r="E190" s="73">
        <f>IFERROR(VLOOKUP(D190,DATOS!E:F,2,0),"-")</f>
        <v>0</v>
      </c>
      <c r="F190" s="72"/>
      <c r="G190" s="73" t="str">
        <f>IFERROR(VLOOKUP(F190,DATOS!G:H,2,0),"-")</f>
        <v>-</v>
      </c>
      <c r="H190" s="72"/>
      <c r="I190" s="72"/>
      <c r="J190" s="72"/>
      <c r="K190" s="83"/>
      <c r="L190" s="99"/>
      <c r="M190" s="83"/>
      <c r="N190" s="84" t="str">
        <f t="shared" si="76"/>
        <v>-</v>
      </c>
      <c r="O190" s="100"/>
      <c r="P190" s="100"/>
      <c r="Q190" s="100"/>
      <c r="R190" s="100"/>
      <c r="S190" s="101"/>
      <c r="T190" s="101"/>
      <c r="U190" s="101"/>
      <c r="V190" s="101"/>
      <c r="W190" s="83"/>
      <c r="X190" s="83"/>
      <c r="Y190" s="79"/>
      <c r="Z190" s="102"/>
      <c r="AA190" s="83"/>
      <c r="AB190" s="83"/>
      <c r="AC190" s="83"/>
      <c r="AD190" s="83"/>
      <c r="AE190" s="79" t="str">
        <f t="shared" si="77"/>
        <v/>
      </c>
      <c r="AF190" s="79" t="str">
        <f t="shared" si="75"/>
        <v>-</v>
      </c>
      <c r="AG190" s="103"/>
      <c r="AH190" s="103"/>
      <c r="AI190" s="83"/>
      <c r="AJ190" s="83"/>
      <c r="AK190" s="71"/>
      <c r="AL190" s="71"/>
      <c r="AM190" s="72"/>
      <c r="AN190" s="79"/>
      <c r="AO190" s="91"/>
    </row>
    <row r="191" spans="1:41" ht="63.75" customHeight="1" x14ac:dyDescent="0.3">
      <c r="A191" s="83"/>
      <c r="B191" s="72"/>
      <c r="C191" s="72"/>
      <c r="D191" s="72"/>
      <c r="E191" s="73">
        <f>IFERROR(VLOOKUP(D191,DATOS!E:F,2,0),"-")</f>
        <v>0</v>
      </c>
      <c r="F191" s="72"/>
      <c r="G191" s="73" t="str">
        <f>IFERROR(VLOOKUP(F191,DATOS!G:H,2,0),"-")</f>
        <v>-</v>
      </c>
      <c r="H191" s="72"/>
      <c r="I191" s="72"/>
      <c r="J191" s="72"/>
      <c r="K191" s="83"/>
      <c r="L191" s="99"/>
      <c r="M191" s="83"/>
      <c r="N191" s="84" t="str">
        <f t="shared" si="76"/>
        <v>-</v>
      </c>
      <c r="O191" s="100"/>
      <c r="P191" s="100"/>
      <c r="Q191" s="100"/>
      <c r="R191" s="100"/>
      <c r="S191" s="101"/>
      <c r="T191" s="101"/>
      <c r="U191" s="101"/>
      <c r="V191" s="101"/>
      <c r="W191" s="83"/>
      <c r="X191" s="83"/>
      <c r="Y191" s="79"/>
      <c r="Z191" s="102"/>
      <c r="AA191" s="83"/>
      <c r="AB191" s="83"/>
      <c r="AC191" s="83"/>
      <c r="AD191" s="83"/>
      <c r="AE191" s="79" t="str">
        <f t="shared" si="77"/>
        <v/>
      </c>
      <c r="AF191" s="79" t="str">
        <f t="shared" si="75"/>
        <v>-</v>
      </c>
      <c r="AG191" s="103"/>
      <c r="AH191" s="103"/>
      <c r="AI191" s="83"/>
      <c r="AJ191" s="83"/>
      <c r="AK191" s="71"/>
      <c r="AL191" s="71"/>
      <c r="AM191" s="72"/>
      <c r="AN191" s="79"/>
      <c r="AO191" s="91"/>
    </row>
    <row r="192" spans="1:41" ht="63.75" customHeight="1" x14ac:dyDescent="0.3">
      <c r="A192" s="83"/>
      <c r="B192" s="72"/>
      <c r="C192" s="72"/>
      <c r="D192" s="72"/>
      <c r="E192" s="73">
        <f>IFERROR(VLOOKUP(D192,DATOS!E:F,2,0),"-")</f>
        <v>0</v>
      </c>
      <c r="F192" s="72"/>
      <c r="G192" s="73" t="str">
        <f>IFERROR(VLOOKUP(F192,DATOS!G:H,2,0),"-")</f>
        <v>-</v>
      </c>
      <c r="H192" s="72"/>
      <c r="I192" s="72"/>
      <c r="J192" s="72"/>
      <c r="K192" s="83"/>
      <c r="L192" s="99"/>
      <c r="M192" s="83"/>
      <c r="N192" s="84" t="str">
        <f t="shared" si="76"/>
        <v>-</v>
      </c>
      <c r="O192" s="100"/>
      <c r="P192" s="100"/>
      <c r="Q192" s="100"/>
      <c r="R192" s="100"/>
      <c r="S192" s="101"/>
      <c r="T192" s="101"/>
      <c r="U192" s="101"/>
      <c r="V192" s="101"/>
      <c r="W192" s="83"/>
      <c r="X192" s="83"/>
      <c r="Y192" s="79"/>
      <c r="Z192" s="102"/>
      <c r="AA192" s="83"/>
      <c r="AB192" s="83"/>
      <c r="AC192" s="83"/>
      <c r="AD192" s="83"/>
      <c r="AE192" s="79" t="str">
        <f t="shared" si="77"/>
        <v/>
      </c>
      <c r="AF192" s="79" t="str">
        <f t="shared" si="75"/>
        <v>-</v>
      </c>
      <c r="AG192" s="103"/>
      <c r="AH192" s="103"/>
      <c r="AI192" s="83"/>
      <c r="AJ192" s="83"/>
      <c r="AK192" s="71"/>
      <c r="AL192" s="71"/>
      <c r="AM192" s="72"/>
      <c r="AN192" s="79"/>
      <c r="AO192" s="91"/>
    </row>
    <row r="193" spans="1:41" ht="63.75" customHeight="1" x14ac:dyDescent="0.3">
      <c r="A193" s="83"/>
      <c r="B193" s="72"/>
      <c r="C193" s="72"/>
      <c r="D193" s="72"/>
      <c r="E193" s="73">
        <f>IFERROR(VLOOKUP(D193,DATOS!E:F,2,0),"-")</f>
        <v>0</v>
      </c>
      <c r="F193" s="72"/>
      <c r="G193" s="73" t="str">
        <f>IFERROR(VLOOKUP(F193,DATOS!G:H,2,0),"-")</f>
        <v>-</v>
      </c>
      <c r="H193" s="72"/>
      <c r="I193" s="72"/>
      <c r="J193" s="72"/>
      <c r="K193" s="83"/>
      <c r="L193" s="99"/>
      <c r="M193" s="83"/>
      <c r="N193" s="84" t="str">
        <f t="shared" si="76"/>
        <v>-</v>
      </c>
      <c r="O193" s="100"/>
      <c r="P193" s="100"/>
      <c r="Q193" s="100"/>
      <c r="R193" s="100"/>
      <c r="S193" s="101"/>
      <c r="T193" s="101"/>
      <c r="U193" s="101"/>
      <c r="V193" s="101"/>
      <c r="W193" s="83"/>
      <c r="X193" s="83"/>
      <c r="Y193" s="79"/>
      <c r="Z193" s="102"/>
      <c r="AA193" s="83"/>
      <c r="AB193" s="83"/>
      <c r="AC193" s="83"/>
      <c r="AD193" s="83"/>
      <c r="AE193" s="79" t="str">
        <f t="shared" si="77"/>
        <v/>
      </c>
      <c r="AF193" s="79" t="str">
        <f t="shared" si="75"/>
        <v>-</v>
      </c>
      <c r="AG193" s="103"/>
      <c r="AH193" s="103"/>
      <c r="AI193" s="83"/>
      <c r="AJ193" s="83"/>
      <c r="AK193" s="71"/>
      <c r="AL193" s="71"/>
      <c r="AM193" s="72"/>
      <c r="AN193" s="79"/>
      <c r="AO193" s="91"/>
    </row>
    <row r="194" spans="1:41" ht="63.75" customHeight="1" x14ac:dyDescent="0.3">
      <c r="A194" s="83"/>
      <c r="B194" s="72"/>
      <c r="C194" s="72"/>
      <c r="D194" s="72"/>
      <c r="E194" s="73">
        <f>IFERROR(VLOOKUP(D194,DATOS!E:F,2,0),"-")</f>
        <v>0</v>
      </c>
      <c r="F194" s="72"/>
      <c r="G194" s="73" t="str">
        <f>IFERROR(VLOOKUP(F194,DATOS!G:H,2,0),"-")</f>
        <v>-</v>
      </c>
      <c r="H194" s="72"/>
      <c r="I194" s="72"/>
      <c r="J194" s="72"/>
      <c r="K194" s="83"/>
      <c r="L194" s="99"/>
      <c r="M194" s="83"/>
      <c r="N194" s="84" t="str">
        <f t="shared" si="76"/>
        <v>-</v>
      </c>
      <c r="O194" s="100"/>
      <c r="P194" s="100"/>
      <c r="Q194" s="100"/>
      <c r="R194" s="100"/>
      <c r="S194" s="101"/>
      <c r="T194" s="101"/>
      <c r="U194" s="101"/>
      <c r="V194" s="101"/>
      <c r="W194" s="83"/>
      <c r="X194" s="83"/>
      <c r="Y194" s="79"/>
      <c r="Z194" s="102"/>
      <c r="AA194" s="83"/>
      <c r="AB194" s="83"/>
      <c r="AC194" s="83"/>
      <c r="AD194" s="83"/>
      <c r="AE194" s="79" t="str">
        <f t="shared" si="77"/>
        <v/>
      </c>
      <c r="AF194" s="79" t="str">
        <f t="shared" si="75"/>
        <v>-</v>
      </c>
      <c r="AG194" s="103"/>
      <c r="AH194" s="103"/>
      <c r="AI194" s="83"/>
      <c r="AJ194" s="83"/>
      <c r="AK194" s="71"/>
      <c r="AL194" s="71"/>
      <c r="AM194" s="72"/>
      <c r="AN194" s="79"/>
      <c r="AO194" s="91"/>
    </row>
    <row r="195" spans="1:41" ht="63.75" customHeight="1" x14ac:dyDescent="0.3">
      <c r="A195" s="83"/>
      <c r="B195" s="72"/>
      <c r="C195" s="72"/>
      <c r="D195" s="72"/>
      <c r="E195" s="73">
        <f>IFERROR(VLOOKUP(D195,DATOS!E:F,2,0),"-")</f>
        <v>0</v>
      </c>
      <c r="F195" s="72"/>
      <c r="G195" s="73" t="str">
        <f>IFERROR(VLOOKUP(F195,DATOS!G:H,2,0),"-")</f>
        <v>-</v>
      </c>
      <c r="H195" s="72"/>
      <c r="I195" s="72"/>
      <c r="J195" s="72"/>
      <c r="K195" s="83"/>
      <c r="L195" s="99"/>
      <c r="M195" s="83"/>
      <c r="N195" s="84" t="str">
        <f t="shared" si="76"/>
        <v>-</v>
      </c>
      <c r="O195" s="100"/>
      <c r="P195" s="100"/>
      <c r="Q195" s="100"/>
      <c r="R195" s="100"/>
      <c r="S195" s="101"/>
      <c r="T195" s="101"/>
      <c r="U195" s="101"/>
      <c r="V195" s="101"/>
      <c r="W195" s="83"/>
      <c r="X195" s="83"/>
      <c r="Y195" s="79"/>
      <c r="Z195" s="102"/>
      <c r="AA195" s="83"/>
      <c r="AB195" s="83"/>
      <c r="AC195" s="83"/>
      <c r="AD195" s="83"/>
      <c r="AE195" s="79" t="str">
        <f t="shared" si="77"/>
        <v/>
      </c>
      <c r="AF195" s="79" t="str">
        <f t="shared" si="75"/>
        <v>-</v>
      </c>
      <c r="AG195" s="103"/>
      <c r="AH195" s="103"/>
      <c r="AI195" s="83"/>
      <c r="AJ195" s="83"/>
      <c r="AK195" s="71"/>
      <c r="AL195" s="71"/>
      <c r="AM195" s="72"/>
      <c r="AN195" s="79"/>
      <c r="AO195" s="89"/>
    </row>
    <row r="196" spans="1:41" ht="63.75" customHeight="1" x14ac:dyDescent="0.3">
      <c r="A196" s="83"/>
      <c r="B196" s="72"/>
      <c r="C196" s="72"/>
      <c r="D196" s="72"/>
      <c r="E196" s="73">
        <f>IFERROR(VLOOKUP(D196,DATOS!E:F,2,0),"-")</f>
        <v>0</v>
      </c>
      <c r="F196" s="72"/>
      <c r="G196" s="73" t="str">
        <f>IFERROR(VLOOKUP(F196,DATOS!G:H,2,0),"-")</f>
        <v>-</v>
      </c>
      <c r="H196" s="72"/>
      <c r="I196" s="72"/>
      <c r="J196" s="72"/>
      <c r="K196" s="83"/>
      <c r="L196" s="99"/>
      <c r="M196" s="83"/>
      <c r="N196" s="84" t="str">
        <f t="shared" si="76"/>
        <v>-</v>
      </c>
      <c r="O196" s="100"/>
      <c r="P196" s="100"/>
      <c r="Q196" s="100"/>
      <c r="R196" s="84"/>
      <c r="S196" s="101"/>
      <c r="T196" s="101"/>
      <c r="U196" s="101"/>
      <c r="V196" s="101"/>
      <c r="W196" s="83"/>
      <c r="X196" s="83"/>
      <c r="Y196" s="79"/>
      <c r="Z196" s="102"/>
      <c r="AA196" s="83"/>
      <c r="AB196" s="83"/>
      <c r="AC196" s="83"/>
      <c r="AD196" s="83"/>
      <c r="AE196" s="79" t="str">
        <f t="shared" si="77"/>
        <v/>
      </c>
      <c r="AF196" s="79" t="str">
        <f t="shared" si="75"/>
        <v>-</v>
      </c>
      <c r="AG196" s="103"/>
      <c r="AH196" s="103"/>
      <c r="AI196" s="83"/>
      <c r="AJ196" s="83"/>
      <c r="AK196" s="71"/>
      <c r="AL196" s="71"/>
      <c r="AM196" s="72"/>
      <c r="AN196" s="79"/>
      <c r="AO196" s="89"/>
    </row>
    <row r="197" spans="1:41" ht="102" customHeight="1" x14ac:dyDescent="0.3">
      <c r="A197" s="83"/>
      <c r="B197" s="72"/>
      <c r="C197" s="72"/>
      <c r="D197" s="72"/>
      <c r="E197" s="73">
        <f>IFERROR(VLOOKUP(D197,DATOS!E:F,2,0),"-")</f>
        <v>0</v>
      </c>
      <c r="F197" s="72"/>
      <c r="G197" s="73" t="str">
        <f>IFERROR(VLOOKUP(F197,DATOS!G:H,2,0),"-")</f>
        <v>-</v>
      </c>
      <c r="H197" s="72"/>
      <c r="I197" s="72"/>
      <c r="J197" s="72"/>
      <c r="K197" s="83"/>
      <c r="L197" s="99"/>
      <c r="M197" s="83"/>
      <c r="N197" s="84" t="str">
        <f t="shared" si="76"/>
        <v>-</v>
      </c>
      <c r="O197" s="100"/>
      <c r="P197" s="100"/>
      <c r="Q197" s="100"/>
      <c r="R197" s="100"/>
      <c r="S197" s="101"/>
      <c r="T197" s="101"/>
      <c r="U197" s="101"/>
      <c r="V197" s="101"/>
      <c r="W197" s="83"/>
      <c r="X197" s="83"/>
      <c r="Y197" s="79"/>
      <c r="Z197" s="102"/>
      <c r="AA197" s="83"/>
      <c r="AB197" s="83"/>
      <c r="AC197" s="83"/>
      <c r="AD197" s="83"/>
      <c r="AE197" s="79" t="str">
        <f t="shared" si="77"/>
        <v/>
      </c>
      <c r="AF197" s="79" t="str">
        <f t="shared" si="75"/>
        <v>-</v>
      </c>
      <c r="AG197" s="103"/>
      <c r="AH197" s="103"/>
      <c r="AI197" s="83"/>
      <c r="AJ197" s="83"/>
      <c r="AK197" s="71"/>
      <c r="AL197" s="71"/>
      <c r="AM197" s="72"/>
      <c r="AN197" s="79"/>
      <c r="AO197" s="72"/>
    </row>
    <row r="198" spans="1:41" ht="63.75" customHeight="1" x14ac:dyDescent="0.3">
      <c r="A198" s="83"/>
      <c r="B198" s="72"/>
      <c r="C198" s="72"/>
      <c r="D198" s="72"/>
      <c r="E198" s="73">
        <f>IFERROR(VLOOKUP(D198,DATOS!E:F,2,0),"-")</f>
        <v>0</v>
      </c>
      <c r="F198" s="72"/>
      <c r="G198" s="73" t="str">
        <f>IFERROR(VLOOKUP(F198,DATOS!G:H,2,0),"-")</f>
        <v>-</v>
      </c>
      <c r="H198" s="72"/>
      <c r="I198" s="72"/>
      <c r="J198" s="72"/>
      <c r="K198" s="83"/>
      <c r="L198" s="99"/>
      <c r="M198" s="83"/>
      <c r="N198" s="84" t="str">
        <f t="shared" si="76"/>
        <v>-</v>
      </c>
      <c r="O198" s="100"/>
      <c r="P198" s="100"/>
      <c r="Q198" s="100"/>
      <c r="R198" s="100"/>
      <c r="S198" s="101"/>
      <c r="T198" s="101"/>
      <c r="U198" s="101"/>
      <c r="V198" s="101"/>
      <c r="W198" s="83"/>
      <c r="X198" s="83"/>
      <c r="Y198" s="79"/>
      <c r="Z198" s="102"/>
      <c r="AA198" s="83"/>
      <c r="AB198" s="83"/>
      <c r="AC198" s="83"/>
      <c r="AD198" s="83"/>
      <c r="AE198" s="79" t="str">
        <f t="shared" si="77"/>
        <v/>
      </c>
      <c r="AF198" s="79" t="str">
        <f t="shared" si="75"/>
        <v>-</v>
      </c>
      <c r="AG198" s="103"/>
      <c r="AH198" s="103"/>
      <c r="AI198" s="83"/>
      <c r="AJ198" s="83"/>
      <c r="AK198" s="71"/>
      <c r="AL198" s="71"/>
      <c r="AM198" s="79"/>
      <c r="AN198" s="79"/>
      <c r="AO198" s="79"/>
    </row>
    <row r="199" spans="1:41" ht="63.75" customHeight="1" x14ac:dyDescent="0.3">
      <c r="A199" s="83"/>
      <c r="B199" s="72"/>
      <c r="C199" s="72"/>
      <c r="D199" s="72"/>
      <c r="E199" s="73">
        <f>IFERROR(VLOOKUP(D199,DATOS!E:F,2,0),"-")</f>
        <v>0</v>
      </c>
      <c r="F199" s="72"/>
      <c r="G199" s="73" t="str">
        <f>IFERROR(VLOOKUP(F199,DATOS!G:H,2,0),"-")</f>
        <v>-</v>
      </c>
      <c r="H199" s="72"/>
      <c r="I199" s="72"/>
      <c r="J199" s="72"/>
      <c r="K199" s="83"/>
      <c r="L199" s="99"/>
      <c r="M199" s="83"/>
      <c r="N199" s="84" t="str">
        <f t="shared" si="76"/>
        <v>-</v>
      </c>
      <c r="O199" s="100"/>
      <c r="P199" s="100"/>
      <c r="Q199" s="100"/>
      <c r="R199" s="100"/>
      <c r="S199" s="101"/>
      <c r="T199" s="101"/>
      <c r="U199" s="101"/>
      <c r="V199" s="101"/>
      <c r="W199" s="83"/>
      <c r="X199" s="83"/>
      <c r="Y199" s="79"/>
      <c r="Z199" s="102"/>
      <c r="AA199" s="83"/>
      <c r="AB199" s="83"/>
      <c r="AC199" s="83"/>
      <c r="AD199" s="83"/>
      <c r="AE199" s="79" t="str">
        <f t="shared" si="77"/>
        <v/>
      </c>
      <c r="AF199" s="79" t="str">
        <f t="shared" si="75"/>
        <v>-</v>
      </c>
      <c r="AG199" s="103"/>
      <c r="AH199" s="103"/>
      <c r="AI199" s="83"/>
      <c r="AJ199" s="83"/>
      <c r="AK199" s="71"/>
      <c r="AL199" s="71"/>
      <c r="AM199" s="79"/>
      <c r="AN199" s="79"/>
      <c r="AO199" s="79"/>
    </row>
    <row r="200" spans="1:41" ht="63.75" customHeight="1" x14ac:dyDescent="0.3">
      <c r="A200" s="83"/>
      <c r="B200" s="72"/>
      <c r="C200" s="72"/>
      <c r="D200" s="72"/>
      <c r="E200" s="73">
        <f>IFERROR(VLOOKUP(D200,DATOS!E:F,2,0),"-")</f>
        <v>0</v>
      </c>
      <c r="F200" s="72"/>
      <c r="G200" s="73" t="str">
        <f>IFERROR(VLOOKUP(F200,DATOS!G:H,2,0),"-")</f>
        <v>-</v>
      </c>
      <c r="H200" s="72"/>
      <c r="I200" s="72"/>
      <c r="J200" s="72"/>
      <c r="K200" s="83"/>
      <c r="L200" s="99"/>
      <c r="M200" s="83"/>
      <c r="N200" s="84" t="str">
        <f t="shared" si="76"/>
        <v>-</v>
      </c>
      <c r="O200" s="100"/>
      <c r="P200" s="100"/>
      <c r="Q200" s="100"/>
      <c r="R200" s="100"/>
      <c r="S200" s="101"/>
      <c r="T200" s="101"/>
      <c r="U200" s="101"/>
      <c r="V200" s="101"/>
      <c r="W200" s="83"/>
      <c r="X200" s="83"/>
      <c r="Y200" s="79"/>
      <c r="Z200" s="102"/>
      <c r="AA200" s="83"/>
      <c r="AB200" s="83"/>
      <c r="AC200" s="83"/>
      <c r="AD200" s="83"/>
      <c r="AE200" s="79" t="str">
        <f t="shared" si="77"/>
        <v/>
      </c>
      <c r="AF200" s="79" t="str">
        <f t="shared" si="75"/>
        <v>-</v>
      </c>
      <c r="AG200" s="103"/>
      <c r="AH200" s="103"/>
      <c r="AI200" s="83"/>
      <c r="AJ200" s="83"/>
      <c r="AK200" s="71"/>
      <c r="AL200" s="71"/>
      <c r="AM200" s="79"/>
      <c r="AN200" s="79"/>
      <c r="AO200" s="79"/>
    </row>
    <row r="201" spans="1:41" ht="63.75" customHeight="1" x14ac:dyDescent="0.3">
      <c r="A201" s="83"/>
      <c r="B201" s="72"/>
      <c r="C201" s="72"/>
      <c r="D201" s="72"/>
      <c r="E201" s="73">
        <f>IFERROR(VLOOKUP(D201,DATOS!E:F,2,0),"-")</f>
        <v>0</v>
      </c>
      <c r="F201" s="72"/>
      <c r="G201" s="73" t="str">
        <f>IFERROR(VLOOKUP(F201,DATOS!G:H,2,0),"-")</f>
        <v>-</v>
      </c>
      <c r="H201" s="72"/>
      <c r="I201" s="72"/>
      <c r="J201" s="72"/>
      <c r="K201" s="83"/>
      <c r="L201" s="99"/>
      <c r="M201" s="83"/>
      <c r="N201" s="84" t="str">
        <f t="shared" si="76"/>
        <v>-</v>
      </c>
      <c r="O201" s="100"/>
      <c r="P201" s="100"/>
      <c r="Q201" s="100"/>
      <c r="R201" s="100"/>
      <c r="S201" s="101"/>
      <c r="T201" s="101"/>
      <c r="U201" s="101"/>
      <c r="V201" s="101"/>
      <c r="W201" s="83"/>
      <c r="X201" s="83"/>
      <c r="Y201" s="79"/>
      <c r="Z201" s="102"/>
      <c r="AA201" s="83"/>
      <c r="AB201" s="83"/>
      <c r="AC201" s="83"/>
      <c r="AD201" s="83"/>
      <c r="AE201" s="79" t="str">
        <f t="shared" si="77"/>
        <v/>
      </c>
      <c r="AF201" s="79" t="str">
        <f t="shared" si="75"/>
        <v>-</v>
      </c>
      <c r="AG201" s="103"/>
      <c r="AH201" s="103"/>
      <c r="AI201" s="83"/>
      <c r="AJ201" s="83"/>
      <c r="AK201" s="71"/>
      <c r="AL201" s="71"/>
      <c r="AM201" s="79"/>
      <c r="AN201" s="79"/>
      <c r="AO201" s="79"/>
    </row>
    <row r="202" spans="1:41" ht="63.75" customHeight="1" x14ac:dyDescent="0.3">
      <c r="A202" s="83"/>
      <c r="B202" s="72"/>
      <c r="C202" s="72"/>
      <c r="D202" s="72"/>
      <c r="E202" s="73">
        <f>IFERROR(VLOOKUP(D202,DATOS!E:F,2,0),"-")</f>
        <v>0</v>
      </c>
      <c r="F202" s="72"/>
      <c r="G202" s="73" t="str">
        <f>IFERROR(VLOOKUP(F202,DATOS!G:H,2,0),"-")</f>
        <v>-</v>
      </c>
      <c r="H202" s="72"/>
      <c r="I202" s="72"/>
      <c r="J202" s="72"/>
      <c r="K202" s="83"/>
      <c r="L202" s="99"/>
      <c r="M202" s="83"/>
      <c r="N202" s="84" t="str">
        <f t="shared" si="76"/>
        <v>-</v>
      </c>
      <c r="O202" s="100"/>
      <c r="P202" s="100"/>
      <c r="Q202" s="100"/>
      <c r="R202" s="100"/>
      <c r="S202" s="101"/>
      <c r="T202" s="101"/>
      <c r="U202" s="101"/>
      <c r="V202" s="101"/>
      <c r="W202" s="83"/>
      <c r="X202" s="83"/>
      <c r="Y202" s="79"/>
      <c r="Z202" s="102"/>
      <c r="AA202" s="83"/>
      <c r="AB202" s="83"/>
      <c r="AC202" s="83"/>
      <c r="AD202" s="83"/>
      <c r="AE202" s="79" t="str">
        <f t="shared" si="77"/>
        <v/>
      </c>
      <c r="AF202" s="79" t="str">
        <f t="shared" si="75"/>
        <v>-</v>
      </c>
      <c r="AG202" s="103"/>
      <c r="AH202" s="103"/>
      <c r="AI202" s="83"/>
      <c r="AJ202" s="83"/>
      <c r="AK202" s="71"/>
      <c r="AL202" s="71"/>
      <c r="AM202" s="79"/>
      <c r="AN202" s="79"/>
      <c r="AO202" s="79"/>
    </row>
    <row r="203" spans="1:41" ht="63.75" customHeight="1" x14ac:dyDescent="0.3">
      <c r="A203" s="83"/>
      <c r="B203" s="72"/>
      <c r="C203" s="72"/>
      <c r="D203" s="72"/>
      <c r="E203" s="73">
        <f>IFERROR(VLOOKUP(D203,DATOS!E:F,2,0),"-")</f>
        <v>0</v>
      </c>
      <c r="F203" s="72"/>
      <c r="G203" s="73" t="str">
        <f>IFERROR(VLOOKUP(F203,DATOS!G:H,2,0),"-")</f>
        <v>-</v>
      </c>
      <c r="H203" s="72"/>
      <c r="I203" s="72"/>
      <c r="J203" s="72"/>
      <c r="K203" s="83"/>
      <c r="L203" s="99"/>
      <c r="M203" s="83"/>
      <c r="N203" s="84" t="str">
        <f t="shared" si="76"/>
        <v>-</v>
      </c>
      <c r="O203" s="100"/>
      <c r="P203" s="100"/>
      <c r="Q203" s="100"/>
      <c r="R203" s="100"/>
      <c r="S203" s="101"/>
      <c r="T203" s="101"/>
      <c r="U203" s="101"/>
      <c r="V203" s="101"/>
      <c r="W203" s="83"/>
      <c r="X203" s="83"/>
      <c r="Y203" s="79"/>
      <c r="Z203" s="102"/>
      <c r="AA203" s="83"/>
      <c r="AB203" s="83"/>
      <c r="AC203" s="83"/>
      <c r="AD203" s="83"/>
      <c r="AE203" s="79" t="str">
        <f t="shared" si="77"/>
        <v/>
      </c>
      <c r="AF203" s="79" t="str">
        <f t="shared" si="75"/>
        <v>-</v>
      </c>
      <c r="AG203" s="103"/>
      <c r="AH203" s="103"/>
      <c r="AI203" s="83"/>
      <c r="AJ203" s="83"/>
      <c r="AK203" s="71"/>
      <c r="AL203" s="71"/>
      <c r="AM203" s="79"/>
      <c r="AN203" s="79"/>
      <c r="AO203" s="79"/>
    </row>
    <row r="204" spans="1:41" ht="63.75" customHeight="1" x14ac:dyDescent="0.3">
      <c r="A204" s="83"/>
      <c r="B204" s="72"/>
      <c r="C204" s="72"/>
      <c r="D204" s="72"/>
      <c r="E204" s="73">
        <f>IFERROR(VLOOKUP(D204,DATOS!E:F,2,0),"-")</f>
        <v>0</v>
      </c>
      <c r="F204" s="72"/>
      <c r="G204" s="73" t="str">
        <f>IFERROR(VLOOKUP(F204,DATOS!G:H,2,0),"-")</f>
        <v>-</v>
      </c>
      <c r="H204" s="72"/>
      <c r="I204" s="72"/>
      <c r="J204" s="72"/>
      <c r="K204" s="83"/>
      <c r="L204" s="99"/>
      <c r="M204" s="83"/>
      <c r="N204" s="84" t="str">
        <f t="shared" si="76"/>
        <v>-</v>
      </c>
      <c r="O204" s="100"/>
      <c r="P204" s="100"/>
      <c r="Q204" s="100"/>
      <c r="R204" s="100"/>
      <c r="S204" s="101"/>
      <c r="T204" s="101"/>
      <c r="U204" s="101"/>
      <c r="V204" s="101"/>
      <c r="W204" s="83"/>
      <c r="X204" s="83"/>
      <c r="Y204" s="79"/>
      <c r="Z204" s="102"/>
      <c r="AA204" s="83"/>
      <c r="AB204" s="83"/>
      <c r="AC204" s="83"/>
      <c r="AD204" s="83"/>
      <c r="AE204" s="79" t="str">
        <f t="shared" si="77"/>
        <v/>
      </c>
      <c r="AF204" s="79" t="str">
        <f t="shared" si="75"/>
        <v>-</v>
      </c>
      <c r="AG204" s="103"/>
      <c r="AH204" s="103"/>
      <c r="AI204" s="83"/>
      <c r="AJ204" s="83"/>
      <c r="AK204" s="71"/>
      <c r="AL204" s="71"/>
      <c r="AM204" s="79"/>
      <c r="AN204" s="79"/>
      <c r="AO204" s="79"/>
    </row>
    <row r="205" spans="1:41" ht="63.75" customHeight="1" x14ac:dyDescent="0.3">
      <c r="A205" s="83"/>
      <c r="B205" s="72"/>
      <c r="C205" s="72"/>
      <c r="D205" s="72"/>
      <c r="E205" s="73">
        <f>IFERROR(VLOOKUP(D205,DATOS!E:F,2,0),"-")</f>
        <v>0</v>
      </c>
      <c r="F205" s="72"/>
      <c r="G205" s="73" t="str">
        <f>IFERROR(VLOOKUP(F205,DATOS!G:H,2,0),"-")</f>
        <v>-</v>
      </c>
      <c r="H205" s="72"/>
      <c r="I205" s="72"/>
      <c r="J205" s="72"/>
      <c r="K205" s="83"/>
      <c r="L205" s="99"/>
      <c r="M205" s="83"/>
      <c r="N205" s="84" t="str">
        <f t="shared" si="76"/>
        <v>-</v>
      </c>
      <c r="O205" s="100"/>
      <c r="P205" s="100"/>
      <c r="Q205" s="100"/>
      <c r="R205" s="100"/>
      <c r="S205" s="101"/>
      <c r="T205" s="101"/>
      <c r="U205" s="101"/>
      <c r="V205" s="101"/>
      <c r="W205" s="83"/>
      <c r="X205" s="83"/>
      <c r="Y205" s="79"/>
      <c r="Z205" s="102"/>
      <c r="AA205" s="83"/>
      <c r="AB205" s="83"/>
      <c r="AC205" s="83"/>
      <c r="AD205" s="83"/>
      <c r="AE205" s="79" t="str">
        <f t="shared" si="77"/>
        <v/>
      </c>
      <c r="AF205" s="79" t="str">
        <f t="shared" si="75"/>
        <v>-</v>
      </c>
      <c r="AG205" s="103"/>
      <c r="AH205" s="103"/>
      <c r="AI205" s="83"/>
      <c r="AJ205" s="83"/>
      <c r="AK205" s="71"/>
      <c r="AL205" s="71"/>
      <c r="AM205" s="79"/>
      <c r="AN205" s="79"/>
      <c r="AO205" s="79"/>
    </row>
    <row r="206" spans="1:41" ht="63.75" customHeight="1" x14ac:dyDescent="0.3">
      <c r="A206" s="83"/>
      <c r="B206" s="72"/>
      <c r="C206" s="72"/>
      <c r="D206" s="72"/>
      <c r="E206" s="73">
        <f>IFERROR(VLOOKUP(D206,DATOS!E:F,2,0),"-")</f>
        <v>0</v>
      </c>
      <c r="F206" s="72"/>
      <c r="G206" s="73" t="str">
        <f>IFERROR(VLOOKUP(F206,DATOS!G:H,2,0),"-")</f>
        <v>-</v>
      </c>
      <c r="H206" s="72"/>
      <c r="I206" s="72"/>
      <c r="J206" s="72"/>
      <c r="K206" s="83"/>
      <c r="L206" s="99"/>
      <c r="M206" s="83"/>
      <c r="N206" s="84" t="str">
        <f t="shared" si="76"/>
        <v>-</v>
      </c>
      <c r="O206" s="100"/>
      <c r="P206" s="100"/>
      <c r="Q206" s="100"/>
      <c r="R206" s="100"/>
      <c r="S206" s="101"/>
      <c r="T206" s="101"/>
      <c r="U206" s="101"/>
      <c r="V206" s="101"/>
      <c r="W206" s="83"/>
      <c r="X206" s="83"/>
      <c r="Y206" s="79"/>
      <c r="Z206" s="102"/>
      <c r="AA206" s="83"/>
      <c r="AB206" s="83"/>
      <c r="AC206" s="83"/>
      <c r="AD206" s="83"/>
      <c r="AE206" s="79" t="str">
        <f t="shared" si="77"/>
        <v/>
      </c>
      <c r="AF206" s="79" t="str">
        <f t="shared" si="75"/>
        <v>-</v>
      </c>
      <c r="AG206" s="103"/>
      <c r="AH206" s="103"/>
      <c r="AI206" s="83"/>
      <c r="AJ206" s="83"/>
      <c r="AK206" s="71"/>
      <c r="AL206" s="71"/>
      <c r="AM206" s="79"/>
      <c r="AN206" s="79"/>
      <c r="AO206" s="79"/>
    </row>
    <row r="207" spans="1:41" ht="63.75" customHeight="1" x14ac:dyDescent="0.3">
      <c r="A207" s="83"/>
      <c r="B207" s="72"/>
      <c r="C207" s="72"/>
      <c r="D207" s="72"/>
      <c r="E207" s="73">
        <f>IFERROR(VLOOKUP(D207,DATOS!E:F,2,0),"-")</f>
        <v>0</v>
      </c>
      <c r="F207" s="72"/>
      <c r="G207" s="73" t="str">
        <f>IFERROR(VLOOKUP(F207,DATOS!G:H,2,0),"-")</f>
        <v>-</v>
      </c>
      <c r="H207" s="72"/>
      <c r="I207" s="72"/>
      <c r="J207" s="72"/>
      <c r="K207" s="83"/>
      <c r="L207" s="99"/>
      <c r="M207" s="83"/>
      <c r="N207" s="84" t="str">
        <f t="shared" si="76"/>
        <v>-</v>
      </c>
      <c r="O207" s="100"/>
      <c r="P207" s="100"/>
      <c r="Q207" s="100"/>
      <c r="R207" s="100"/>
      <c r="S207" s="101"/>
      <c r="T207" s="101"/>
      <c r="U207" s="101"/>
      <c r="V207" s="101"/>
      <c r="W207" s="83"/>
      <c r="X207" s="83"/>
      <c r="Y207" s="79"/>
      <c r="Z207" s="102"/>
      <c r="AA207" s="83"/>
      <c r="AB207" s="83"/>
      <c r="AC207" s="83"/>
      <c r="AD207" s="83"/>
      <c r="AE207" s="79" t="str">
        <f t="shared" si="77"/>
        <v/>
      </c>
      <c r="AF207" s="79" t="str">
        <f t="shared" si="75"/>
        <v>-</v>
      </c>
      <c r="AG207" s="103"/>
      <c r="AH207" s="103"/>
      <c r="AI207" s="83"/>
      <c r="AJ207" s="83"/>
      <c r="AK207" s="71"/>
      <c r="AL207" s="71"/>
      <c r="AM207" s="79"/>
      <c r="AN207" s="79"/>
      <c r="AO207" s="79"/>
    </row>
    <row r="208" spans="1:41" ht="63.75" customHeight="1" x14ac:dyDescent="0.3">
      <c r="A208" s="83"/>
      <c r="B208" s="72"/>
      <c r="C208" s="72"/>
      <c r="D208" s="72"/>
      <c r="E208" s="73">
        <f>IFERROR(VLOOKUP(D208,DATOS!E:F,2,0),"-")</f>
        <v>0</v>
      </c>
      <c r="F208" s="72"/>
      <c r="G208" s="73" t="str">
        <f>IFERROR(VLOOKUP(F208,DATOS!G:H,2,0),"-")</f>
        <v>-</v>
      </c>
      <c r="H208" s="72"/>
      <c r="I208" s="72"/>
      <c r="J208" s="72"/>
      <c r="K208" s="83"/>
      <c r="L208" s="99"/>
      <c r="M208" s="83"/>
      <c r="N208" s="84" t="str">
        <f t="shared" si="76"/>
        <v>-</v>
      </c>
      <c r="O208" s="100"/>
      <c r="P208" s="100"/>
      <c r="Q208" s="100"/>
      <c r="R208" s="100"/>
      <c r="S208" s="101"/>
      <c r="T208" s="101"/>
      <c r="U208" s="101"/>
      <c r="V208" s="101"/>
      <c r="W208" s="83"/>
      <c r="X208" s="83"/>
      <c r="Y208" s="79"/>
      <c r="Z208" s="102"/>
      <c r="AA208" s="83"/>
      <c r="AB208" s="83"/>
      <c r="AC208" s="83"/>
      <c r="AD208" s="83"/>
      <c r="AE208" s="104" t="str">
        <f t="shared" si="77"/>
        <v/>
      </c>
      <c r="AF208" s="79" t="str">
        <f t="shared" si="75"/>
        <v>-</v>
      </c>
      <c r="AG208" s="103"/>
      <c r="AH208" s="103"/>
      <c r="AI208" s="83"/>
      <c r="AJ208" s="83"/>
      <c r="AK208" s="71"/>
      <c r="AL208" s="71"/>
      <c r="AM208" s="79"/>
      <c r="AN208" s="79"/>
      <c r="AO208" s="79"/>
    </row>
    <row r="209" spans="1:41" ht="63.75" customHeight="1" x14ac:dyDescent="0.3">
      <c r="A209" s="83"/>
      <c r="B209" s="72"/>
      <c r="C209" s="72"/>
      <c r="D209" s="72"/>
      <c r="E209" s="73">
        <f>IFERROR(VLOOKUP(D209,DATOS!E:F,2,0),"-")</f>
        <v>0</v>
      </c>
      <c r="F209" s="72"/>
      <c r="G209" s="73" t="str">
        <f>IFERROR(VLOOKUP(F209,DATOS!G:H,2,0),"-")</f>
        <v>-</v>
      </c>
      <c r="H209" s="72"/>
      <c r="I209" s="72"/>
      <c r="J209" s="72"/>
      <c r="K209" s="83"/>
      <c r="L209" s="99"/>
      <c r="M209" s="83"/>
      <c r="N209" s="84" t="str">
        <f t="shared" si="76"/>
        <v>-</v>
      </c>
      <c r="O209" s="100"/>
      <c r="P209" s="100"/>
      <c r="Q209" s="100"/>
      <c r="R209" s="100"/>
      <c r="S209" s="101"/>
      <c r="T209" s="101"/>
      <c r="U209" s="101"/>
      <c r="V209" s="101"/>
      <c r="W209" s="83"/>
      <c r="X209" s="83"/>
      <c r="Y209" s="79"/>
      <c r="Z209" s="102"/>
      <c r="AA209" s="83"/>
      <c r="AB209" s="83"/>
      <c r="AC209" s="83"/>
      <c r="AD209" s="83"/>
      <c r="AE209" s="79" t="str">
        <f t="shared" si="77"/>
        <v/>
      </c>
      <c r="AF209" s="79" t="str">
        <f t="shared" si="75"/>
        <v>-</v>
      </c>
      <c r="AG209" s="103"/>
      <c r="AH209" s="103"/>
      <c r="AI209" s="83"/>
      <c r="AJ209" s="83"/>
      <c r="AK209" s="71"/>
      <c r="AL209" s="71"/>
      <c r="AM209" s="79"/>
      <c r="AN209" s="79"/>
      <c r="AO209" s="79"/>
    </row>
    <row r="210" spans="1:41" s="92" customFormat="1" ht="63.75" customHeight="1" x14ac:dyDescent="0.3">
      <c r="A210" s="83"/>
      <c r="B210" s="79"/>
      <c r="C210" s="79"/>
      <c r="D210" s="72"/>
      <c r="E210" s="73">
        <f>IFERROR(VLOOKUP(D210,DATOS!E:F,2,0),"-")</f>
        <v>0</v>
      </c>
      <c r="F210" s="79"/>
      <c r="G210" s="73" t="str">
        <f>IFERROR(VLOOKUP(F210,DATOS!G:H,2,0),"-")</f>
        <v>-</v>
      </c>
      <c r="H210" s="79"/>
      <c r="I210" s="79"/>
      <c r="J210" s="79"/>
      <c r="K210" s="83"/>
      <c r="L210" s="99"/>
      <c r="M210" s="83"/>
      <c r="N210" s="84" t="str">
        <f t="shared" si="76"/>
        <v>-</v>
      </c>
      <c r="O210" s="100"/>
      <c r="P210" s="100"/>
      <c r="Q210" s="100"/>
      <c r="R210" s="100"/>
      <c r="S210" s="101"/>
      <c r="T210" s="101"/>
      <c r="U210" s="101"/>
      <c r="V210" s="101"/>
      <c r="W210" s="83"/>
      <c r="X210" s="83"/>
      <c r="Y210" s="79"/>
      <c r="Z210" s="102"/>
      <c r="AA210" s="83"/>
      <c r="AB210" s="83"/>
      <c r="AC210" s="83"/>
      <c r="AD210" s="83"/>
      <c r="AE210" s="79" t="str">
        <f t="shared" si="77"/>
        <v/>
      </c>
      <c r="AF210" s="79" t="str">
        <f t="shared" si="75"/>
        <v>-</v>
      </c>
      <c r="AG210" s="86"/>
      <c r="AH210" s="86"/>
      <c r="AI210" s="83"/>
      <c r="AJ210" s="83"/>
      <c r="AK210" s="83"/>
      <c r="AL210" s="83"/>
      <c r="AM210" s="79"/>
      <c r="AN210" s="79"/>
      <c r="AO210" s="79"/>
    </row>
    <row r="211" spans="1:41" ht="63.75" customHeight="1" x14ac:dyDescent="0.3">
      <c r="A211" s="83"/>
      <c r="B211" s="79"/>
      <c r="C211" s="79"/>
      <c r="D211" s="72"/>
      <c r="E211" s="73">
        <f>IFERROR(VLOOKUP(D211,DATOS!E:F,2,0),"-")</f>
        <v>0</v>
      </c>
      <c r="F211" s="79"/>
      <c r="G211" s="73" t="str">
        <f>IFERROR(VLOOKUP(F211,DATOS!G:H,2,0),"-")</f>
        <v>-</v>
      </c>
      <c r="H211" s="79"/>
      <c r="I211" s="79"/>
      <c r="J211" s="79"/>
      <c r="K211" s="83"/>
      <c r="L211" s="99"/>
      <c r="M211" s="83"/>
      <c r="N211" s="84" t="str">
        <f t="shared" si="76"/>
        <v>-</v>
      </c>
      <c r="O211" s="100"/>
      <c r="P211" s="100"/>
      <c r="Q211" s="100"/>
      <c r="R211" s="100"/>
      <c r="S211" s="101"/>
      <c r="T211" s="101"/>
      <c r="U211" s="101"/>
      <c r="V211" s="101"/>
      <c r="W211" s="83"/>
      <c r="X211" s="83"/>
      <c r="Y211" s="79"/>
      <c r="Z211" s="102"/>
      <c r="AA211" s="83"/>
      <c r="AB211" s="83"/>
      <c r="AC211" s="83"/>
      <c r="AD211" s="83"/>
      <c r="AE211" s="79" t="str">
        <f t="shared" si="77"/>
        <v/>
      </c>
      <c r="AF211" s="79" t="str">
        <f t="shared" si="75"/>
        <v>-</v>
      </c>
      <c r="AG211" s="103"/>
      <c r="AH211" s="103"/>
      <c r="AI211" s="83"/>
      <c r="AJ211" s="83"/>
      <c r="AK211" s="83"/>
      <c r="AL211" s="83"/>
      <c r="AM211" s="79"/>
      <c r="AN211" s="79"/>
      <c r="AO211" s="79"/>
    </row>
    <row r="212" spans="1:41" ht="63.75" customHeight="1" x14ac:dyDescent="0.3">
      <c r="A212" s="83"/>
      <c r="B212" s="79"/>
      <c r="C212" s="79"/>
      <c r="D212" s="72"/>
      <c r="E212" s="73">
        <f>IFERROR(VLOOKUP(D212,DATOS!E:F,2,0),"-")</f>
        <v>0</v>
      </c>
      <c r="F212" s="79"/>
      <c r="G212" s="73" t="str">
        <f>IFERROR(VLOOKUP(F212,DATOS!G:H,2,0),"-")</f>
        <v>-</v>
      </c>
      <c r="H212" s="79"/>
      <c r="I212" s="79"/>
      <c r="J212" s="79"/>
      <c r="K212" s="83"/>
      <c r="L212" s="99"/>
      <c r="M212" s="83"/>
      <c r="N212" s="84" t="str">
        <f t="shared" si="76"/>
        <v>-</v>
      </c>
      <c r="O212" s="100"/>
      <c r="P212" s="100"/>
      <c r="Q212" s="100"/>
      <c r="R212" s="100"/>
      <c r="S212" s="101"/>
      <c r="T212" s="101"/>
      <c r="U212" s="101"/>
      <c r="V212" s="101"/>
      <c r="W212" s="83"/>
      <c r="X212" s="83"/>
      <c r="Y212" s="79"/>
      <c r="Z212" s="102"/>
      <c r="AA212" s="83"/>
      <c r="AB212" s="83"/>
      <c r="AC212" s="83"/>
      <c r="AD212" s="83"/>
      <c r="AE212" s="79" t="str">
        <f t="shared" si="77"/>
        <v/>
      </c>
      <c r="AF212" s="79" t="str">
        <f t="shared" si="75"/>
        <v>-</v>
      </c>
      <c r="AG212" s="103"/>
      <c r="AH212" s="103"/>
      <c r="AI212" s="83"/>
      <c r="AJ212" s="83"/>
      <c r="AK212" s="83"/>
      <c r="AL212" s="83"/>
      <c r="AM212" s="79"/>
      <c r="AN212" s="79"/>
      <c r="AO212" s="79"/>
    </row>
    <row r="213" spans="1:41" ht="63.75" customHeight="1" x14ac:dyDescent="0.3">
      <c r="A213" s="83"/>
      <c r="B213" s="79"/>
      <c r="C213" s="79"/>
      <c r="D213" s="72"/>
      <c r="E213" s="73">
        <f>IFERROR(VLOOKUP(D213,DATOS!E:F,2,0),"-")</f>
        <v>0</v>
      </c>
      <c r="F213" s="79"/>
      <c r="G213" s="73" t="str">
        <f>IFERROR(VLOOKUP(F213,DATOS!G:H,2,0),"-")</f>
        <v>-</v>
      </c>
      <c r="H213" s="79"/>
      <c r="I213" s="79"/>
      <c r="J213" s="79"/>
      <c r="K213" s="83"/>
      <c r="L213" s="99"/>
      <c r="M213" s="83"/>
      <c r="N213" s="84" t="str">
        <f t="shared" si="76"/>
        <v>-</v>
      </c>
      <c r="O213" s="100"/>
      <c r="P213" s="100"/>
      <c r="Q213" s="100"/>
      <c r="R213" s="100"/>
      <c r="S213" s="101"/>
      <c r="T213" s="101"/>
      <c r="U213" s="101"/>
      <c r="V213" s="101"/>
      <c r="W213" s="83"/>
      <c r="X213" s="83"/>
      <c r="Y213" s="79"/>
      <c r="Z213" s="102"/>
      <c r="AA213" s="83"/>
      <c r="AB213" s="83"/>
      <c r="AC213" s="83"/>
      <c r="AD213" s="83"/>
      <c r="AE213" s="79" t="str">
        <f t="shared" si="77"/>
        <v/>
      </c>
      <c r="AF213" s="79" t="str">
        <f t="shared" si="75"/>
        <v>-</v>
      </c>
      <c r="AG213" s="103"/>
      <c r="AH213" s="103"/>
      <c r="AI213" s="83"/>
      <c r="AJ213" s="83"/>
      <c r="AK213" s="83"/>
      <c r="AL213" s="83"/>
      <c r="AM213" s="79"/>
      <c r="AN213" s="79"/>
      <c r="AO213" s="79"/>
    </row>
    <row r="214" spans="1:41" ht="63.75" customHeight="1" x14ac:dyDescent="0.3">
      <c r="A214" s="83"/>
      <c r="B214" s="79"/>
      <c r="C214" s="79"/>
      <c r="D214" s="72"/>
      <c r="E214" s="73">
        <f>IFERROR(VLOOKUP(D214,DATOS!E:F,2,0),"-")</f>
        <v>0</v>
      </c>
      <c r="F214" s="79"/>
      <c r="G214" s="73" t="str">
        <f>IFERROR(VLOOKUP(F214,DATOS!G:H,2,0),"-")</f>
        <v>-</v>
      </c>
      <c r="H214" s="79"/>
      <c r="I214" s="79"/>
      <c r="J214" s="79"/>
      <c r="K214" s="83"/>
      <c r="L214" s="99"/>
      <c r="M214" s="83"/>
      <c r="N214" s="84" t="str">
        <f t="shared" si="76"/>
        <v>-</v>
      </c>
      <c r="O214" s="100"/>
      <c r="P214" s="100"/>
      <c r="Q214" s="100"/>
      <c r="R214" s="100"/>
      <c r="S214" s="101"/>
      <c r="T214" s="101"/>
      <c r="U214" s="101"/>
      <c r="V214" s="101"/>
      <c r="W214" s="83"/>
      <c r="X214" s="83"/>
      <c r="Y214" s="79"/>
      <c r="Z214" s="102"/>
      <c r="AA214" s="83"/>
      <c r="AB214" s="83"/>
      <c r="AC214" s="83"/>
      <c r="AD214" s="83"/>
      <c r="AE214" s="79" t="str">
        <f t="shared" si="77"/>
        <v/>
      </c>
      <c r="AF214" s="79" t="str">
        <f t="shared" si="75"/>
        <v>-</v>
      </c>
      <c r="AG214" s="103"/>
      <c r="AH214" s="103"/>
      <c r="AI214" s="83"/>
      <c r="AJ214" s="83"/>
      <c r="AK214" s="83"/>
      <c r="AL214" s="83"/>
      <c r="AM214" s="79"/>
      <c r="AN214" s="79"/>
      <c r="AO214" s="79"/>
    </row>
    <row r="215" spans="1:41" ht="63.75" customHeight="1" x14ac:dyDescent="0.3">
      <c r="A215" s="83"/>
      <c r="B215" s="79"/>
      <c r="C215" s="79"/>
      <c r="D215" s="72"/>
      <c r="E215" s="73">
        <f>IFERROR(VLOOKUP(D215,DATOS!E:F,2,0),"-")</f>
        <v>0</v>
      </c>
      <c r="F215" s="79"/>
      <c r="G215" s="73" t="str">
        <f>IFERROR(VLOOKUP(F215,DATOS!G:H,2,0),"-")</f>
        <v>-</v>
      </c>
      <c r="H215" s="79"/>
      <c r="I215" s="79"/>
      <c r="J215" s="79"/>
      <c r="K215" s="83"/>
      <c r="L215" s="99"/>
      <c r="M215" s="83"/>
      <c r="N215" s="84" t="str">
        <f t="shared" si="76"/>
        <v>-</v>
      </c>
      <c r="O215" s="100"/>
      <c r="P215" s="100"/>
      <c r="Q215" s="100"/>
      <c r="R215" s="100"/>
      <c r="S215" s="101"/>
      <c r="T215" s="101"/>
      <c r="U215" s="101"/>
      <c r="V215" s="101"/>
      <c r="W215" s="83"/>
      <c r="X215" s="83"/>
      <c r="Y215" s="79"/>
      <c r="Z215" s="102"/>
      <c r="AA215" s="83"/>
      <c r="AB215" s="83"/>
      <c r="AC215" s="83"/>
      <c r="AD215" s="83"/>
      <c r="AE215" s="79" t="str">
        <f t="shared" si="77"/>
        <v/>
      </c>
      <c r="AF215" s="79" t="str">
        <f t="shared" si="75"/>
        <v>-</v>
      </c>
      <c r="AG215" s="103"/>
      <c r="AH215" s="103"/>
      <c r="AI215" s="83"/>
      <c r="AJ215" s="83"/>
      <c r="AK215" s="83"/>
      <c r="AL215" s="83"/>
      <c r="AM215" s="79"/>
      <c r="AN215" s="79"/>
      <c r="AO215" s="79"/>
    </row>
    <row r="216" spans="1:41" ht="63.75" customHeight="1" x14ac:dyDescent="0.3">
      <c r="A216" s="83"/>
      <c r="B216" s="79"/>
      <c r="C216" s="79"/>
      <c r="D216" s="72"/>
      <c r="E216" s="73">
        <f>IFERROR(VLOOKUP(D216,DATOS!E:F,2,0),"-")</f>
        <v>0</v>
      </c>
      <c r="F216" s="79"/>
      <c r="G216" s="73" t="str">
        <f>IFERROR(VLOOKUP(F216,DATOS!G:H,2,0),"-")</f>
        <v>-</v>
      </c>
      <c r="H216" s="79"/>
      <c r="I216" s="79"/>
      <c r="J216" s="79"/>
      <c r="K216" s="83"/>
      <c r="L216" s="99"/>
      <c r="M216" s="83"/>
      <c r="N216" s="84" t="str">
        <f t="shared" si="76"/>
        <v>-</v>
      </c>
      <c r="O216" s="100"/>
      <c r="P216" s="100"/>
      <c r="Q216" s="100"/>
      <c r="R216" s="100"/>
      <c r="S216" s="101"/>
      <c r="T216" s="101"/>
      <c r="U216" s="101"/>
      <c r="V216" s="101"/>
      <c r="W216" s="83"/>
      <c r="X216" s="83"/>
      <c r="Y216" s="79"/>
      <c r="Z216" s="102"/>
      <c r="AA216" s="83"/>
      <c r="AB216" s="83"/>
      <c r="AC216" s="83"/>
      <c r="AD216" s="83"/>
      <c r="AE216" s="79" t="str">
        <f t="shared" ref="AE216:AE237" si="78">IF(J216="","",J216)</f>
        <v/>
      </c>
      <c r="AF216" s="79" t="str">
        <f t="shared" si="75"/>
        <v>-</v>
      </c>
      <c r="AG216" s="103"/>
      <c r="AH216" s="103"/>
      <c r="AI216" s="83"/>
      <c r="AJ216" s="83"/>
      <c r="AK216" s="83"/>
      <c r="AL216" s="83"/>
      <c r="AM216" s="79"/>
      <c r="AN216" s="79"/>
      <c r="AO216" s="79"/>
    </row>
    <row r="217" spans="1:41" ht="63.75" customHeight="1" x14ac:dyDescent="0.3">
      <c r="A217" s="83"/>
      <c r="B217" s="79"/>
      <c r="C217" s="79"/>
      <c r="D217" s="72"/>
      <c r="E217" s="73">
        <f>IFERROR(VLOOKUP(D217,DATOS!E:F,2,0),"-")</f>
        <v>0</v>
      </c>
      <c r="F217" s="79"/>
      <c r="G217" s="73" t="str">
        <f>IFERROR(VLOOKUP(F217,DATOS!G:H,2,0),"-")</f>
        <v>-</v>
      </c>
      <c r="H217" s="79"/>
      <c r="I217" s="79"/>
      <c r="J217" s="79"/>
      <c r="K217" s="83"/>
      <c r="L217" s="99"/>
      <c r="M217" s="83"/>
      <c r="N217" s="84" t="str">
        <f t="shared" si="76"/>
        <v>-</v>
      </c>
      <c r="O217" s="100"/>
      <c r="P217" s="100"/>
      <c r="Q217" s="100"/>
      <c r="R217" s="100"/>
      <c r="S217" s="101"/>
      <c r="T217" s="101"/>
      <c r="U217" s="101"/>
      <c r="V217" s="101"/>
      <c r="W217" s="83"/>
      <c r="X217" s="83"/>
      <c r="Y217" s="79"/>
      <c r="Z217" s="102"/>
      <c r="AA217" s="83"/>
      <c r="AB217" s="83"/>
      <c r="AC217" s="83"/>
      <c r="AD217" s="83"/>
      <c r="AE217" s="79" t="str">
        <f t="shared" si="78"/>
        <v/>
      </c>
      <c r="AF217" s="79" t="str">
        <f t="shared" si="75"/>
        <v>-</v>
      </c>
      <c r="AG217" s="103"/>
      <c r="AH217" s="103"/>
      <c r="AI217" s="83"/>
      <c r="AJ217" s="83"/>
      <c r="AK217" s="83"/>
      <c r="AL217" s="83"/>
      <c r="AM217" s="79"/>
      <c r="AN217" s="79"/>
      <c r="AO217" s="79"/>
    </row>
    <row r="218" spans="1:41" ht="114" customHeight="1" x14ac:dyDescent="0.3">
      <c r="A218" s="79"/>
      <c r="B218" s="79"/>
      <c r="C218" s="79"/>
      <c r="D218" s="72"/>
      <c r="E218" s="73">
        <f>IFERROR(VLOOKUP(D218,DATOS!E:F,2,0),"-")</f>
        <v>0</v>
      </c>
      <c r="F218" s="79"/>
      <c r="G218" s="73" t="str">
        <f>IFERROR(VLOOKUP(F218,DATOS!G:H,2,0),"-")</f>
        <v>-</v>
      </c>
      <c r="H218" s="79"/>
      <c r="I218" s="79"/>
      <c r="J218" s="79"/>
      <c r="K218" s="83"/>
      <c r="L218" s="99"/>
      <c r="M218" s="83"/>
      <c r="N218" s="84" t="str">
        <f t="shared" si="76"/>
        <v>-</v>
      </c>
      <c r="O218" s="100"/>
      <c r="P218" s="100"/>
      <c r="Q218" s="100"/>
      <c r="R218" s="100"/>
      <c r="S218" s="101"/>
      <c r="T218" s="101"/>
      <c r="U218" s="101"/>
      <c r="V218" s="101"/>
      <c r="W218" s="83"/>
      <c r="X218" s="83"/>
      <c r="Y218" s="79"/>
      <c r="Z218" s="102"/>
      <c r="AA218" s="83"/>
      <c r="AB218" s="83"/>
      <c r="AC218" s="83"/>
      <c r="AD218" s="83"/>
      <c r="AE218" s="79" t="str">
        <f t="shared" si="78"/>
        <v/>
      </c>
      <c r="AF218" s="79" t="str">
        <f t="shared" si="75"/>
        <v>-</v>
      </c>
      <c r="AG218" s="103"/>
      <c r="AH218" s="103"/>
      <c r="AI218" s="83"/>
      <c r="AJ218" s="83"/>
      <c r="AK218" s="83"/>
      <c r="AL218" s="83"/>
      <c r="AM218" s="79"/>
      <c r="AN218" s="79"/>
      <c r="AO218" s="79"/>
    </row>
    <row r="219" spans="1:41" ht="63.75" customHeight="1" x14ac:dyDescent="0.3">
      <c r="A219" s="83"/>
      <c r="B219" s="79"/>
      <c r="C219" s="79"/>
      <c r="D219" s="72"/>
      <c r="E219" s="73">
        <f>IFERROR(VLOOKUP(D219,DATOS!E:F,2,0),"-")</f>
        <v>0</v>
      </c>
      <c r="F219" s="79"/>
      <c r="G219" s="73" t="str">
        <f>IFERROR(VLOOKUP(F219,DATOS!G:H,2,0),"-")</f>
        <v>-</v>
      </c>
      <c r="H219" s="79"/>
      <c r="I219" s="79"/>
      <c r="J219" s="79"/>
      <c r="K219" s="83"/>
      <c r="L219" s="99"/>
      <c r="M219" s="83"/>
      <c r="N219" s="84" t="str">
        <f t="shared" si="76"/>
        <v>-</v>
      </c>
      <c r="O219" s="100"/>
      <c r="P219" s="100"/>
      <c r="Q219" s="100"/>
      <c r="R219" s="100"/>
      <c r="S219" s="101"/>
      <c r="T219" s="101"/>
      <c r="U219" s="101"/>
      <c r="V219" s="101"/>
      <c r="W219" s="83"/>
      <c r="X219" s="83"/>
      <c r="Y219" s="79"/>
      <c r="Z219" s="102"/>
      <c r="AA219" s="83"/>
      <c r="AB219" s="83"/>
      <c r="AC219" s="83"/>
      <c r="AD219" s="83"/>
      <c r="AE219" s="79" t="str">
        <f t="shared" si="78"/>
        <v/>
      </c>
      <c r="AF219" s="79" t="str">
        <f t="shared" si="75"/>
        <v>-</v>
      </c>
      <c r="AG219" s="103"/>
      <c r="AH219" s="103"/>
      <c r="AI219" s="83"/>
      <c r="AJ219" s="83"/>
      <c r="AK219" s="83"/>
      <c r="AL219" s="83"/>
      <c r="AM219" s="79"/>
      <c r="AN219" s="79"/>
      <c r="AO219" s="79"/>
    </row>
    <row r="220" spans="1:41" ht="63.75" customHeight="1" x14ac:dyDescent="0.3">
      <c r="A220" s="83"/>
      <c r="B220" s="79"/>
      <c r="C220" s="79"/>
      <c r="D220" s="72"/>
      <c r="E220" s="73">
        <f>IFERROR(VLOOKUP(D220,DATOS!E:F,2,0),"-")</f>
        <v>0</v>
      </c>
      <c r="F220" s="79"/>
      <c r="G220" s="73" t="str">
        <f>IFERROR(VLOOKUP(F220,DATOS!G:H,2,0),"-")</f>
        <v>-</v>
      </c>
      <c r="H220" s="79"/>
      <c r="I220" s="79"/>
      <c r="J220" s="79"/>
      <c r="K220" s="83"/>
      <c r="L220" s="99"/>
      <c r="M220" s="83"/>
      <c r="N220" s="84" t="str">
        <f t="shared" si="76"/>
        <v>-</v>
      </c>
      <c r="O220" s="100"/>
      <c r="P220" s="100"/>
      <c r="Q220" s="100"/>
      <c r="R220" s="100"/>
      <c r="S220" s="101"/>
      <c r="T220" s="101"/>
      <c r="U220" s="101"/>
      <c r="V220" s="101"/>
      <c r="W220" s="83"/>
      <c r="X220" s="83"/>
      <c r="Y220" s="79"/>
      <c r="Z220" s="102"/>
      <c r="AA220" s="83"/>
      <c r="AB220" s="83"/>
      <c r="AC220" s="83"/>
      <c r="AD220" s="83"/>
      <c r="AE220" s="79" t="str">
        <f t="shared" si="78"/>
        <v/>
      </c>
      <c r="AF220" s="79" t="str">
        <f t="shared" si="75"/>
        <v>-</v>
      </c>
      <c r="AG220" s="103"/>
      <c r="AH220" s="103"/>
      <c r="AI220" s="83"/>
      <c r="AJ220" s="83"/>
      <c r="AK220" s="83"/>
      <c r="AL220" s="83"/>
      <c r="AM220" s="79"/>
      <c r="AN220" s="79"/>
      <c r="AO220" s="79"/>
    </row>
    <row r="221" spans="1:41" ht="114.75" customHeight="1" x14ac:dyDescent="0.3">
      <c r="A221" s="83"/>
      <c r="B221" s="79"/>
      <c r="C221" s="79"/>
      <c r="D221" s="72"/>
      <c r="E221" s="73">
        <f>IFERROR(VLOOKUP(D221,DATOS!E:F,2,0),"-")</f>
        <v>0</v>
      </c>
      <c r="F221" s="79"/>
      <c r="G221" s="73" t="str">
        <f>IFERROR(VLOOKUP(F221,DATOS!G:H,2,0),"-")</f>
        <v>-</v>
      </c>
      <c r="H221" s="79"/>
      <c r="I221" s="79"/>
      <c r="J221" s="79"/>
      <c r="K221" s="83"/>
      <c r="L221" s="99"/>
      <c r="M221" s="83"/>
      <c r="N221" s="84" t="str">
        <f t="shared" si="76"/>
        <v>-</v>
      </c>
      <c r="O221" s="100"/>
      <c r="P221" s="100"/>
      <c r="Q221" s="100"/>
      <c r="R221" s="100"/>
      <c r="S221" s="101"/>
      <c r="T221" s="101"/>
      <c r="U221" s="101"/>
      <c r="V221" s="101"/>
      <c r="W221" s="83"/>
      <c r="X221" s="83"/>
      <c r="Y221" s="79"/>
      <c r="Z221" s="102"/>
      <c r="AA221" s="83"/>
      <c r="AB221" s="83"/>
      <c r="AC221" s="83"/>
      <c r="AD221" s="83"/>
      <c r="AE221" s="104" t="str">
        <f t="shared" si="78"/>
        <v/>
      </c>
      <c r="AF221" s="79" t="str">
        <f t="shared" si="75"/>
        <v>-</v>
      </c>
      <c r="AG221" s="103"/>
      <c r="AH221" s="103"/>
      <c r="AI221" s="83"/>
      <c r="AJ221" s="83"/>
      <c r="AK221" s="83"/>
      <c r="AL221" s="83"/>
      <c r="AM221" s="79"/>
      <c r="AN221" s="79"/>
      <c r="AO221" s="79"/>
    </row>
    <row r="222" spans="1:41" ht="76.5" customHeight="1" x14ac:dyDescent="0.3">
      <c r="A222" s="83"/>
      <c r="B222" s="79"/>
      <c r="C222" s="79"/>
      <c r="D222" s="72"/>
      <c r="E222" s="73">
        <f>IFERROR(VLOOKUP(D222,DATOS!E:F,2,0),"-")</f>
        <v>0</v>
      </c>
      <c r="F222" s="79"/>
      <c r="G222" s="73" t="str">
        <f>IFERROR(VLOOKUP(F222,DATOS!G:H,2,0),"-")</f>
        <v>-</v>
      </c>
      <c r="H222" s="79"/>
      <c r="I222" s="79"/>
      <c r="J222" s="79"/>
      <c r="K222" s="83"/>
      <c r="L222" s="99"/>
      <c r="M222" s="83"/>
      <c r="N222" s="84" t="str">
        <f t="shared" si="76"/>
        <v>-</v>
      </c>
      <c r="O222" s="100"/>
      <c r="P222" s="100"/>
      <c r="Q222" s="100"/>
      <c r="R222" s="100"/>
      <c r="S222" s="101"/>
      <c r="T222" s="101"/>
      <c r="U222" s="101"/>
      <c r="V222" s="101"/>
      <c r="W222" s="83"/>
      <c r="X222" s="83"/>
      <c r="Y222" s="79"/>
      <c r="Z222" s="102"/>
      <c r="AA222" s="83"/>
      <c r="AB222" s="83"/>
      <c r="AC222" s="83"/>
      <c r="AD222" s="83"/>
      <c r="AE222" s="79" t="str">
        <f t="shared" si="78"/>
        <v/>
      </c>
      <c r="AF222" s="79" t="str">
        <f t="shared" si="75"/>
        <v>-</v>
      </c>
      <c r="AG222" s="103"/>
      <c r="AH222" s="103"/>
      <c r="AI222" s="83"/>
      <c r="AJ222" s="83"/>
      <c r="AK222" s="83"/>
      <c r="AL222" s="83"/>
      <c r="AM222" s="79"/>
      <c r="AN222" s="79"/>
      <c r="AO222" s="79"/>
    </row>
    <row r="223" spans="1:41" ht="63.75" customHeight="1" x14ac:dyDescent="0.3">
      <c r="A223" s="83"/>
      <c r="B223" s="79"/>
      <c r="C223" s="79"/>
      <c r="D223" s="72"/>
      <c r="E223" s="73">
        <f>IFERROR(VLOOKUP(D223,DATOS!E:F,2,0),"-")</f>
        <v>0</v>
      </c>
      <c r="F223" s="79"/>
      <c r="G223" s="73" t="str">
        <f>IFERROR(VLOOKUP(F223,DATOS!G:H,2,0),"-")</f>
        <v>-</v>
      </c>
      <c r="H223" s="79"/>
      <c r="I223" s="79"/>
      <c r="J223" s="79"/>
      <c r="K223" s="83"/>
      <c r="L223" s="99"/>
      <c r="M223" s="83"/>
      <c r="N223" s="84" t="str">
        <f t="shared" ref="N223:N237" si="79">IF(SUM(O223:R223)=0,"-",SUM(O223:R223))</f>
        <v>-</v>
      </c>
      <c r="O223" s="100"/>
      <c r="P223" s="100"/>
      <c r="Q223" s="100"/>
      <c r="R223" s="100"/>
      <c r="S223" s="101"/>
      <c r="T223" s="101"/>
      <c r="U223" s="101"/>
      <c r="V223" s="101"/>
      <c r="W223" s="83"/>
      <c r="X223" s="83"/>
      <c r="Y223" s="79"/>
      <c r="Z223" s="102"/>
      <c r="AA223" s="83"/>
      <c r="AB223" s="83"/>
      <c r="AC223" s="83"/>
      <c r="AD223" s="83"/>
      <c r="AE223" s="79" t="str">
        <f t="shared" si="78"/>
        <v/>
      </c>
      <c r="AF223" s="79" t="str">
        <f t="shared" si="75"/>
        <v>-</v>
      </c>
      <c r="AG223" s="103"/>
      <c r="AH223" s="103"/>
      <c r="AI223" s="83"/>
      <c r="AJ223" s="83"/>
      <c r="AK223" s="83"/>
      <c r="AL223" s="83"/>
      <c r="AM223" s="79"/>
      <c r="AN223" s="79"/>
      <c r="AO223" s="79"/>
    </row>
    <row r="224" spans="1:41" ht="63.75" customHeight="1" x14ac:dyDescent="0.3">
      <c r="A224" s="83"/>
      <c r="B224" s="79"/>
      <c r="C224" s="79"/>
      <c r="D224" s="72"/>
      <c r="E224" s="73">
        <f>IFERROR(VLOOKUP(D224,DATOS!E:F,2,0),"-")</f>
        <v>0</v>
      </c>
      <c r="F224" s="79"/>
      <c r="G224" s="73" t="str">
        <f>IFERROR(VLOOKUP(F224,DATOS!G:H,2,0),"-")</f>
        <v>-</v>
      </c>
      <c r="H224" s="79"/>
      <c r="I224" s="79"/>
      <c r="J224" s="79"/>
      <c r="K224" s="83"/>
      <c r="L224" s="99"/>
      <c r="M224" s="83"/>
      <c r="N224" s="84" t="str">
        <f t="shared" si="79"/>
        <v>-</v>
      </c>
      <c r="O224" s="100"/>
      <c r="P224" s="100"/>
      <c r="Q224" s="100"/>
      <c r="R224" s="100"/>
      <c r="S224" s="101"/>
      <c r="T224" s="101"/>
      <c r="U224" s="101"/>
      <c r="V224" s="101"/>
      <c r="W224" s="83"/>
      <c r="X224" s="83"/>
      <c r="Y224" s="79"/>
      <c r="Z224" s="102"/>
      <c r="AA224" s="83"/>
      <c r="AB224" s="83"/>
      <c r="AC224" s="83"/>
      <c r="AD224" s="83"/>
      <c r="AE224" s="79" t="str">
        <f t="shared" si="78"/>
        <v/>
      </c>
      <c r="AF224" s="79" t="str">
        <f t="shared" ref="AF224:AF237" si="80">IF(SUM(Q343:T343)=0,"-",IF(SUM(Q343:R343)&gt;=SUM(S343:T343),"Nación","Propios"))</f>
        <v>-</v>
      </c>
      <c r="AG224" s="103"/>
      <c r="AH224" s="103"/>
      <c r="AI224" s="83"/>
      <c r="AJ224" s="83"/>
      <c r="AK224" s="83"/>
      <c r="AL224" s="83"/>
      <c r="AM224" s="79"/>
      <c r="AN224" s="79"/>
      <c r="AO224" s="79"/>
    </row>
    <row r="225" spans="1:41" ht="63.75" customHeight="1" x14ac:dyDescent="0.3">
      <c r="A225" s="83"/>
      <c r="B225" s="79"/>
      <c r="C225" s="79"/>
      <c r="D225" s="72"/>
      <c r="E225" s="73">
        <f>IFERROR(VLOOKUP(D225,DATOS!E:F,2,0),"-")</f>
        <v>0</v>
      </c>
      <c r="F225" s="79"/>
      <c r="G225" s="73" t="str">
        <f>IFERROR(VLOOKUP(F225,DATOS!G:H,2,0),"-")</f>
        <v>-</v>
      </c>
      <c r="H225" s="79"/>
      <c r="I225" s="79"/>
      <c r="J225" s="79"/>
      <c r="K225" s="83"/>
      <c r="L225" s="99"/>
      <c r="M225" s="83"/>
      <c r="N225" s="84" t="str">
        <f t="shared" si="79"/>
        <v>-</v>
      </c>
      <c r="O225" s="100"/>
      <c r="P225" s="100"/>
      <c r="Q225" s="100"/>
      <c r="R225" s="100"/>
      <c r="S225" s="101"/>
      <c r="T225" s="101"/>
      <c r="U225" s="101"/>
      <c r="V225" s="101"/>
      <c r="W225" s="83"/>
      <c r="X225" s="83"/>
      <c r="Y225" s="79"/>
      <c r="Z225" s="102"/>
      <c r="AA225" s="83"/>
      <c r="AB225" s="83"/>
      <c r="AC225" s="83"/>
      <c r="AD225" s="83"/>
      <c r="AE225" s="79" t="str">
        <f t="shared" si="78"/>
        <v/>
      </c>
      <c r="AF225" s="79" t="str">
        <f t="shared" si="80"/>
        <v>-</v>
      </c>
      <c r="AG225" s="103"/>
      <c r="AH225" s="103"/>
      <c r="AI225" s="83"/>
      <c r="AJ225" s="83"/>
      <c r="AK225" s="83"/>
      <c r="AL225" s="83"/>
      <c r="AM225" s="79"/>
      <c r="AN225" s="79"/>
      <c r="AO225" s="79"/>
    </row>
    <row r="226" spans="1:41" ht="63.75" customHeight="1" x14ac:dyDescent="0.3">
      <c r="A226" s="83"/>
      <c r="B226" s="79"/>
      <c r="C226" s="79"/>
      <c r="D226" s="72"/>
      <c r="E226" s="73">
        <f>IFERROR(VLOOKUP(D226,DATOS!E:F,2,0),"-")</f>
        <v>0</v>
      </c>
      <c r="F226" s="79"/>
      <c r="G226" s="73" t="str">
        <f>IFERROR(VLOOKUP(F226,DATOS!G:H,2,0),"-")</f>
        <v>-</v>
      </c>
      <c r="H226" s="79"/>
      <c r="I226" s="79"/>
      <c r="J226" s="79"/>
      <c r="K226" s="83"/>
      <c r="L226" s="99"/>
      <c r="M226" s="83"/>
      <c r="N226" s="84" t="str">
        <f t="shared" si="79"/>
        <v>-</v>
      </c>
      <c r="O226" s="100"/>
      <c r="P226" s="100"/>
      <c r="Q226" s="100"/>
      <c r="R226" s="100"/>
      <c r="S226" s="101"/>
      <c r="T226" s="101"/>
      <c r="U226" s="101"/>
      <c r="V226" s="101"/>
      <c r="W226" s="83"/>
      <c r="X226" s="83"/>
      <c r="Y226" s="79"/>
      <c r="Z226" s="102"/>
      <c r="AA226" s="83"/>
      <c r="AB226" s="83"/>
      <c r="AC226" s="83"/>
      <c r="AD226" s="83"/>
      <c r="AE226" s="79" t="str">
        <f t="shared" si="78"/>
        <v/>
      </c>
      <c r="AF226" s="79" t="str">
        <f t="shared" si="80"/>
        <v>-</v>
      </c>
      <c r="AG226" s="103"/>
      <c r="AH226" s="103"/>
      <c r="AI226" s="83"/>
      <c r="AJ226" s="83"/>
      <c r="AK226" s="83"/>
      <c r="AL226" s="83"/>
      <c r="AM226" s="79"/>
      <c r="AN226" s="79"/>
      <c r="AO226" s="79"/>
    </row>
    <row r="227" spans="1:41" ht="63.75" customHeight="1" x14ac:dyDescent="0.3">
      <c r="A227" s="83"/>
      <c r="B227" s="72"/>
      <c r="C227" s="72"/>
      <c r="D227" s="72"/>
      <c r="E227" s="73">
        <f>IFERROR(VLOOKUP(D227,DATOS!E:F,2,0),"-")</f>
        <v>0</v>
      </c>
      <c r="F227" s="72"/>
      <c r="G227" s="73" t="str">
        <f>IFERROR(VLOOKUP(F227,DATOS!G:H,2,0),"-")</f>
        <v>-</v>
      </c>
      <c r="H227" s="72"/>
      <c r="I227" s="72"/>
      <c r="J227" s="72"/>
      <c r="K227" s="71"/>
      <c r="L227" s="99"/>
      <c r="M227" s="83"/>
      <c r="N227" s="84" t="str">
        <f t="shared" si="79"/>
        <v>-</v>
      </c>
      <c r="O227" s="100"/>
      <c r="P227" s="100"/>
      <c r="Q227" s="100"/>
      <c r="R227" s="100"/>
      <c r="S227" s="101"/>
      <c r="T227" s="101"/>
      <c r="U227" s="101"/>
      <c r="V227" s="101"/>
      <c r="W227" s="83"/>
      <c r="X227" s="83"/>
      <c r="Y227" s="79"/>
      <c r="Z227" s="102"/>
      <c r="AA227" s="83"/>
      <c r="AB227" s="83"/>
      <c r="AC227" s="83"/>
      <c r="AD227" s="83"/>
      <c r="AE227" s="79" t="str">
        <f t="shared" si="78"/>
        <v/>
      </c>
      <c r="AF227" s="79" t="str">
        <f t="shared" si="80"/>
        <v>-</v>
      </c>
      <c r="AG227" s="103"/>
      <c r="AH227" s="103"/>
      <c r="AI227" s="83"/>
      <c r="AJ227" s="83"/>
      <c r="AK227" s="71"/>
      <c r="AL227" s="71"/>
      <c r="AM227" s="72"/>
      <c r="AN227" s="79"/>
      <c r="AO227" s="72"/>
    </row>
    <row r="228" spans="1:41" ht="63.75" customHeight="1" x14ac:dyDescent="0.3">
      <c r="A228" s="83"/>
      <c r="B228" s="72"/>
      <c r="C228" s="72"/>
      <c r="D228" s="72"/>
      <c r="E228" s="73">
        <f>IFERROR(VLOOKUP(D228,DATOS!E:F,2,0),"-")</f>
        <v>0</v>
      </c>
      <c r="F228" s="72"/>
      <c r="G228" s="73" t="str">
        <f>IFERROR(VLOOKUP(F228,DATOS!G:H,2,0),"-")</f>
        <v>-</v>
      </c>
      <c r="H228" s="72"/>
      <c r="I228" s="72"/>
      <c r="J228" s="72"/>
      <c r="K228" s="71"/>
      <c r="L228" s="99"/>
      <c r="M228" s="83"/>
      <c r="N228" s="84" t="str">
        <f t="shared" si="79"/>
        <v>-</v>
      </c>
      <c r="O228" s="100"/>
      <c r="P228" s="100"/>
      <c r="Q228" s="100"/>
      <c r="R228" s="100"/>
      <c r="S228" s="101"/>
      <c r="T228" s="101"/>
      <c r="U228" s="101"/>
      <c r="V228" s="101"/>
      <c r="W228" s="83"/>
      <c r="X228" s="83"/>
      <c r="Y228" s="79"/>
      <c r="Z228" s="102"/>
      <c r="AA228" s="83"/>
      <c r="AB228" s="83"/>
      <c r="AC228" s="83"/>
      <c r="AD228" s="83"/>
      <c r="AE228" s="79" t="str">
        <f t="shared" si="78"/>
        <v/>
      </c>
      <c r="AF228" s="79" t="str">
        <f t="shared" si="80"/>
        <v>-</v>
      </c>
      <c r="AG228" s="103"/>
      <c r="AH228" s="103"/>
      <c r="AI228" s="83"/>
      <c r="AJ228" s="83"/>
      <c r="AK228" s="71"/>
      <c r="AL228" s="71"/>
      <c r="AM228" s="72"/>
      <c r="AN228" s="79"/>
      <c r="AO228" s="72"/>
    </row>
    <row r="229" spans="1:41" ht="63.75" customHeight="1" x14ac:dyDescent="0.3">
      <c r="A229" s="83"/>
      <c r="B229" s="72"/>
      <c r="C229" s="72"/>
      <c r="D229" s="72"/>
      <c r="E229" s="73">
        <f>IFERROR(VLOOKUP(D229,DATOS!E:F,2,0),"-")</f>
        <v>0</v>
      </c>
      <c r="F229" s="72"/>
      <c r="G229" s="73" t="str">
        <f>IFERROR(VLOOKUP(F229,DATOS!G:H,2,0),"-")</f>
        <v>-</v>
      </c>
      <c r="H229" s="72"/>
      <c r="I229" s="72"/>
      <c r="J229" s="72"/>
      <c r="K229" s="71"/>
      <c r="L229" s="99"/>
      <c r="M229" s="83"/>
      <c r="N229" s="84" t="str">
        <f t="shared" si="79"/>
        <v>-</v>
      </c>
      <c r="O229" s="100"/>
      <c r="P229" s="100"/>
      <c r="Q229" s="100"/>
      <c r="R229" s="100"/>
      <c r="S229" s="101"/>
      <c r="T229" s="101"/>
      <c r="U229" s="101"/>
      <c r="V229" s="101"/>
      <c r="W229" s="83"/>
      <c r="X229" s="83"/>
      <c r="Y229" s="79"/>
      <c r="Z229" s="102"/>
      <c r="AA229" s="83"/>
      <c r="AB229" s="83"/>
      <c r="AC229" s="83"/>
      <c r="AD229" s="83"/>
      <c r="AE229" s="79" t="str">
        <f t="shared" si="78"/>
        <v/>
      </c>
      <c r="AF229" s="79" t="str">
        <f t="shared" si="80"/>
        <v>-</v>
      </c>
      <c r="AG229" s="103"/>
      <c r="AH229" s="103"/>
      <c r="AI229" s="83"/>
      <c r="AJ229" s="83"/>
      <c r="AK229" s="71"/>
      <c r="AL229" s="71"/>
      <c r="AM229" s="72"/>
      <c r="AN229" s="79"/>
      <c r="AO229" s="72"/>
    </row>
    <row r="230" spans="1:41" ht="63.75" customHeight="1" x14ac:dyDescent="0.3">
      <c r="A230" s="83"/>
      <c r="B230" s="72"/>
      <c r="C230" s="72"/>
      <c r="D230" s="72"/>
      <c r="E230" s="73">
        <f>IFERROR(VLOOKUP(D230,DATOS!E:F,2,0),"-")</f>
        <v>0</v>
      </c>
      <c r="F230" s="72"/>
      <c r="G230" s="73" t="str">
        <f>IFERROR(VLOOKUP(F230,DATOS!G:H,2,0),"-")</f>
        <v>-</v>
      </c>
      <c r="H230" s="72"/>
      <c r="I230" s="72"/>
      <c r="J230" s="72"/>
      <c r="K230" s="71"/>
      <c r="L230" s="99"/>
      <c r="M230" s="83"/>
      <c r="N230" s="84" t="str">
        <f t="shared" si="79"/>
        <v>-</v>
      </c>
      <c r="O230" s="100"/>
      <c r="P230" s="100"/>
      <c r="Q230" s="100"/>
      <c r="R230" s="100"/>
      <c r="S230" s="101"/>
      <c r="T230" s="101"/>
      <c r="U230" s="101"/>
      <c r="V230" s="101"/>
      <c r="W230" s="83"/>
      <c r="X230" s="83"/>
      <c r="Y230" s="79"/>
      <c r="Z230" s="102"/>
      <c r="AA230" s="83"/>
      <c r="AB230" s="83"/>
      <c r="AC230" s="83"/>
      <c r="AD230" s="83"/>
      <c r="AE230" s="79" t="str">
        <f t="shared" si="78"/>
        <v/>
      </c>
      <c r="AF230" s="79" t="str">
        <f t="shared" si="80"/>
        <v>-</v>
      </c>
      <c r="AG230" s="103"/>
      <c r="AH230" s="103"/>
      <c r="AI230" s="83"/>
      <c r="AJ230" s="83"/>
      <c r="AK230" s="71"/>
      <c r="AL230" s="71"/>
      <c r="AM230" s="72"/>
      <c r="AN230" s="79"/>
      <c r="AO230" s="72"/>
    </row>
    <row r="231" spans="1:41" ht="63.75" customHeight="1" x14ac:dyDescent="0.3">
      <c r="A231" s="83"/>
      <c r="B231" s="72"/>
      <c r="C231" s="72"/>
      <c r="D231" s="72"/>
      <c r="E231" s="73">
        <f>IFERROR(VLOOKUP(D231,DATOS!E:F,2,0),"-")</f>
        <v>0</v>
      </c>
      <c r="F231" s="72"/>
      <c r="G231" s="73" t="str">
        <f>IFERROR(VLOOKUP(F231,DATOS!G:H,2,0),"-")</f>
        <v>-</v>
      </c>
      <c r="H231" s="72"/>
      <c r="I231" s="72"/>
      <c r="J231" s="72"/>
      <c r="K231" s="71"/>
      <c r="L231" s="99"/>
      <c r="M231" s="83"/>
      <c r="N231" s="84" t="str">
        <f t="shared" si="79"/>
        <v>-</v>
      </c>
      <c r="O231" s="100"/>
      <c r="P231" s="100"/>
      <c r="Q231" s="100"/>
      <c r="R231" s="100"/>
      <c r="S231" s="101"/>
      <c r="T231" s="101"/>
      <c r="U231" s="101"/>
      <c r="V231" s="101"/>
      <c r="W231" s="83"/>
      <c r="X231" s="83"/>
      <c r="Y231" s="79"/>
      <c r="Z231" s="102"/>
      <c r="AA231" s="83"/>
      <c r="AB231" s="83"/>
      <c r="AC231" s="83"/>
      <c r="AD231" s="83"/>
      <c r="AE231" s="79" t="str">
        <f t="shared" si="78"/>
        <v/>
      </c>
      <c r="AF231" s="79" t="str">
        <f t="shared" si="80"/>
        <v>-</v>
      </c>
      <c r="AG231" s="103"/>
      <c r="AH231" s="103"/>
      <c r="AI231" s="83"/>
      <c r="AJ231" s="83"/>
      <c r="AK231" s="71"/>
      <c r="AL231" s="71"/>
      <c r="AM231" s="72"/>
      <c r="AN231" s="79"/>
      <c r="AO231" s="72"/>
    </row>
    <row r="232" spans="1:41" ht="81.75" customHeight="1" x14ac:dyDescent="0.3">
      <c r="A232" s="83"/>
      <c r="B232" s="72"/>
      <c r="C232" s="72"/>
      <c r="D232" s="72"/>
      <c r="E232" s="73">
        <f>IFERROR(VLOOKUP(D232,DATOS!E:F,2,0),"-")</f>
        <v>0</v>
      </c>
      <c r="F232" s="72"/>
      <c r="G232" s="73" t="str">
        <f>IFERROR(VLOOKUP(F232,DATOS!G:H,2,0),"-")</f>
        <v>-</v>
      </c>
      <c r="H232" s="72"/>
      <c r="I232" s="72"/>
      <c r="J232" s="72"/>
      <c r="K232" s="71"/>
      <c r="L232" s="99"/>
      <c r="M232" s="83"/>
      <c r="N232" s="84" t="str">
        <f t="shared" si="79"/>
        <v>-</v>
      </c>
      <c r="O232" s="100"/>
      <c r="P232" s="100"/>
      <c r="Q232" s="100"/>
      <c r="R232" s="100"/>
      <c r="S232" s="101"/>
      <c r="T232" s="101"/>
      <c r="U232" s="101"/>
      <c r="V232" s="101"/>
      <c r="W232" s="83"/>
      <c r="X232" s="83"/>
      <c r="Y232" s="79"/>
      <c r="Z232" s="102"/>
      <c r="AA232" s="83"/>
      <c r="AB232" s="83"/>
      <c r="AC232" s="83"/>
      <c r="AD232" s="83"/>
      <c r="AE232" s="79" t="str">
        <f t="shared" si="78"/>
        <v/>
      </c>
      <c r="AF232" s="79" t="str">
        <f t="shared" si="80"/>
        <v>-</v>
      </c>
      <c r="AG232" s="103"/>
      <c r="AH232" s="103"/>
      <c r="AI232" s="83"/>
      <c r="AJ232" s="83"/>
      <c r="AK232" s="71"/>
      <c r="AL232" s="71"/>
      <c r="AM232" s="72"/>
      <c r="AN232" s="79"/>
      <c r="AO232" s="72"/>
    </row>
    <row r="233" spans="1:41" ht="63.75" customHeight="1" x14ac:dyDescent="0.3">
      <c r="A233" s="83"/>
      <c r="B233" s="72"/>
      <c r="C233" s="72"/>
      <c r="D233" s="72"/>
      <c r="E233" s="73">
        <f>IFERROR(VLOOKUP(D233,DATOS!E:F,2,0),"-")</f>
        <v>0</v>
      </c>
      <c r="F233" s="72"/>
      <c r="G233" s="73" t="str">
        <f>IFERROR(VLOOKUP(F233,DATOS!G:H,2,0),"-")</f>
        <v>-</v>
      </c>
      <c r="H233" s="72"/>
      <c r="I233" s="72"/>
      <c r="J233" s="72"/>
      <c r="K233" s="71"/>
      <c r="L233" s="99"/>
      <c r="M233" s="83"/>
      <c r="N233" s="84" t="str">
        <f t="shared" si="79"/>
        <v>-</v>
      </c>
      <c r="O233" s="100"/>
      <c r="P233" s="100"/>
      <c r="Q233" s="100"/>
      <c r="R233" s="100"/>
      <c r="S233" s="101"/>
      <c r="T233" s="101"/>
      <c r="U233" s="101"/>
      <c r="V233" s="101"/>
      <c r="W233" s="83"/>
      <c r="X233" s="83"/>
      <c r="Y233" s="79"/>
      <c r="Z233" s="102"/>
      <c r="AA233" s="83"/>
      <c r="AB233" s="83"/>
      <c r="AC233" s="83"/>
      <c r="AD233" s="83"/>
      <c r="AE233" s="79" t="str">
        <f t="shared" si="78"/>
        <v/>
      </c>
      <c r="AF233" s="79" t="str">
        <f t="shared" si="80"/>
        <v>-</v>
      </c>
      <c r="AG233" s="103"/>
      <c r="AH233" s="103"/>
      <c r="AI233" s="83"/>
      <c r="AJ233" s="83"/>
      <c r="AK233" s="71"/>
      <c r="AL233" s="71"/>
      <c r="AM233" s="72"/>
      <c r="AN233" s="79"/>
      <c r="AO233" s="72"/>
    </row>
    <row r="234" spans="1:41" ht="63.75" customHeight="1" x14ac:dyDescent="0.3">
      <c r="A234" s="83"/>
      <c r="B234" s="72"/>
      <c r="C234" s="72"/>
      <c r="D234" s="72"/>
      <c r="E234" s="73">
        <f>IFERROR(VLOOKUP(D234,DATOS!E:F,2,0),"-")</f>
        <v>0</v>
      </c>
      <c r="F234" s="72"/>
      <c r="G234" s="73" t="str">
        <f>IFERROR(VLOOKUP(F234,DATOS!G:H,2,0),"-")</f>
        <v>-</v>
      </c>
      <c r="H234" s="72"/>
      <c r="I234" s="72"/>
      <c r="J234" s="72"/>
      <c r="K234" s="71"/>
      <c r="L234" s="99"/>
      <c r="M234" s="83"/>
      <c r="N234" s="84" t="str">
        <f t="shared" si="79"/>
        <v>-</v>
      </c>
      <c r="O234" s="100"/>
      <c r="P234" s="100"/>
      <c r="Q234" s="100"/>
      <c r="R234" s="100"/>
      <c r="S234" s="101"/>
      <c r="T234" s="101"/>
      <c r="U234" s="101"/>
      <c r="V234" s="101"/>
      <c r="W234" s="83"/>
      <c r="X234" s="83"/>
      <c r="Y234" s="79"/>
      <c r="Z234" s="102"/>
      <c r="AA234" s="83"/>
      <c r="AB234" s="83"/>
      <c r="AC234" s="83"/>
      <c r="AD234" s="83"/>
      <c r="AE234" s="79" t="str">
        <f t="shared" si="78"/>
        <v/>
      </c>
      <c r="AF234" s="79" t="str">
        <f t="shared" si="80"/>
        <v>-</v>
      </c>
      <c r="AG234" s="103"/>
      <c r="AH234" s="103"/>
      <c r="AI234" s="83"/>
      <c r="AJ234" s="83"/>
      <c r="AK234" s="71"/>
      <c r="AL234" s="71"/>
      <c r="AM234" s="72"/>
      <c r="AN234" s="79"/>
      <c r="AO234" s="72"/>
    </row>
    <row r="235" spans="1:41" ht="76.5" customHeight="1" x14ac:dyDescent="0.3">
      <c r="A235" s="83"/>
      <c r="B235" s="72"/>
      <c r="C235" s="72"/>
      <c r="D235" s="72"/>
      <c r="E235" s="73">
        <f>IFERROR(VLOOKUP(D235,DATOS!E:F,2,0),"-")</f>
        <v>0</v>
      </c>
      <c r="F235" s="72"/>
      <c r="G235" s="73" t="str">
        <f>IFERROR(VLOOKUP(F235,DATOS!G:H,2,0),"-")</f>
        <v>-</v>
      </c>
      <c r="H235" s="72"/>
      <c r="I235" s="72"/>
      <c r="J235" s="72"/>
      <c r="K235" s="71"/>
      <c r="L235" s="99"/>
      <c r="M235" s="83"/>
      <c r="N235" s="84" t="str">
        <f t="shared" si="79"/>
        <v>-</v>
      </c>
      <c r="O235" s="100"/>
      <c r="P235" s="100"/>
      <c r="Q235" s="100"/>
      <c r="R235" s="100"/>
      <c r="S235" s="101"/>
      <c r="T235" s="101"/>
      <c r="U235" s="101"/>
      <c r="V235" s="101"/>
      <c r="W235" s="83"/>
      <c r="X235" s="83"/>
      <c r="Y235" s="79"/>
      <c r="Z235" s="102"/>
      <c r="AA235" s="83"/>
      <c r="AB235" s="83"/>
      <c r="AC235" s="83"/>
      <c r="AD235" s="83"/>
      <c r="AE235" s="79" t="str">
        <f t="shared" si="78"/>
        <v/>
      </c>
      <c r="AF235" s="79" t="str">
        <f t="shared" si="80"/>
        <v>-</v>
      </c>
      <c r="AG235" s="103"/>
      <c r="AH235" s="103"/>
      <c r="AI235" s="83"/>
      <c r="AJ235" s="83"/>
      <c r="AK235" s="71"/>
      <c r="AL235" s="71"/>
      <c r="AM235" s="72"/>
      <c r="AN235" s="79"/>
      <c r="AO235" s="72"/>
    </row>
    <row r="236" spans="1:41" ht="63.75" customHeight="1" x14ac:dyDescent="0.3">
      <c r="A236" s="83"/>
      <c r="B236" s="72"/>
      <c r="C236" s="72"/>
      <c r="D236" s="72"/>
      <c r="E236" s="73">
        <f>IFERROR(VLOOKUP(D236,DATOS!E:F,2,0),"-")</f>
        <v>0</v>
      </c>
      <c r="F236" s="72"/>
      <c r="G236" s="73" t="str">
        <f>IFERROR(VLOOKUP(F236,DATOS!G:H,2,0),"-")</f>
        <v>-</v>
      </c>
      <c r="H236" s="72"/>
      <c r="I236" s="72"/>
      <c r="J236" s="72"/>
      <c r="K236" s="71"/>
      <c r="L236" s="99"/>
      <c r="M236" s="83"/>
      <c r="N236" s="84" t="str">
        <f t="shared" si="79"/>
        <v>-</v>
      </c>
      <c r="O236" s="100"/>
      <c r="P236" s="100"/>
      <c r="Q236" s="100"/>
      <c r="R236" s="100"/>
      <c r="S236" s="101"/>
      <c r="T236" s="101"/>
      <c r="U236" s="101"/>
      <c r="V236" s="101"/>
      <c r="W236" s="83"/>
      <c r="X236" s="83"/>
      <c r="Y236" s="79"/>
      <c r="Z236" s="102"/>
      <c r="AA236" s="83"/>
      <c r="AB236" s="83"/>
      <c r="AC236" s="83"/>
      <c r="AD236" s="83"/>
      <c r="AE236" s="79" t="str">
        <f t="shared" si="78"/>
        <v/>
      </c>
      <c r="AF236" s="79" t="str">
        <f t="shared" si="80"/>
        <v>-</v>
      </c>
      <c r="AG236" s="103"/>
      <c r="AH236" s="103"/>
      <c r="AI236" s="83"/>
      <c r="AJ236" s="83"/>
      <c r="AK236" s="71"/>
      <c r="AL236" s="71"/>
      <c r="AM236" s="72"/>
      <c r="AN236" s="79"/>
      <c r="AO236" s="72"/>
    </row>
    <row r="237" spans="1:41" ht="63.75" customHeight="1" x14ac:dyDescent="0.3">
      <c r="A237" s="83"/>
      <c r="B237" s="72"/>
      <c r="C237" s="72"/>
      <c r="D237" s="72"/>
      <c r="E237" s="73">
        <f>IFERROR(VLOOKUP(D237,DATOS!E:F,2,0),"-")</f>
        <v>0</v>
      </c>
      <c r="F237" s="72"/>
      <c r="G237" s="73" t="str">
        <f>IFERROR(VLOOKUP(F237,DATOS!G:H,2,0),"-")</f>
        <v>-</v>
      </c>
      <c r="H237" s="72"/>
      <c r="I237" s="72"/>
      <c r="J237" s="72"/>
      <c r="K237" s="71"/>
      <c r="L237" s="99"/>
      <c r="M237" s="83"/>
      <c r="N237" s="84" t="str">
        <f t="shared" si="79"/>
        <v>-</v>
      </c>
      <c r="O237" s="100"/>
      <c r="P237" s="100"/>
      <c r="Q237" s="100"/>
      <c r="R237" s="100"/>
      <c r="S237" s="101"/>
      <c r="T237" s="101"/>
      <c r="U237" s="101"/>
      <c r="V237" s="101"/>
      <c r="W237" s="83"/>
      <c r="X237" s="83"/>
      <c r="Y237" s="79"/>
      <c r="Z237" s="102"/>
      <c r="AA237" s="83"/>
      <c r="AB237" s="83"/>
      <c r="AC237" s="83"/>
      <c r="AD237" s="83"/>
      <c r="AE237" s="79" t="str">
        <f t="shared" si="78"/>
        <v/>
      </c>
      <c r="AF237" s="79" t="str">
        <f t="shared" si="80"/>
        <v>-</v>
      </c>
      <c r="AG237" s="103"/>
      <c r="AH237" s="103"/>
      <c r="AI237" s="83"/>
      <c r="AJ237" s="83"/>
      <c r="AK237" s="71"/>
      <c r="AL237" s="71"/>
      <c r="AM237" s="72"/>
      <c r="AN237" s="79"/>
      <c r="AO237" s="72"/>
    </row>
    <row r="238" spans="1:41" ht="15" customHeight="1" x14ac:dyDescent="0.3">
      <c r="L238" s="106"/>
      <c r="M238" s="92"/>
      <c r="N238" s="106">
        <f>SUM(N2:N237)</f>
        <v>61033150024</v>
      </c>
      <c r="O238" s="106">
        <f t="shared" ref="O238:R238" si="81">SUM(O2:O237)</f>
        <v>0</v>
      </c>
      <c r="P238" s="106"/>
      <c r="Q238" s="106">
        <f t="shared" si="81"/>
        <v>9614954776</v>
      </c>
      <c r="R238" s="106">
        <f t="shared" si="81"/>
        <v>2673627766</v>
      </c>
      <c r="S238" s="92"/>
      <c r="T238" s="92"/>
      <c r="U238" s="92"/>
      <c r="V238" s="92"/>
      <c r="W238" s="92"/>
      <c r="X238" s="92"/>
      <c r="Y238" s="108"/>
      <c r="Z238" s="109"/>
      <c r="AA238" s="107"/>
      <c r="AB238" s="107"/>
      <c r="AC238" s="107"/>
      <c r="AD238" s="107"/>
      <c r="AE238" s="108"/>
      <c r="AF238" s="107"/>
      <c r="AG238" s="110"/>
      <c r="AH238" s="110"/>
      <c r="AI238" s="107"/>
      <c r="AJ238" s="107"/>
    </row>
    <row r="239" spans="1:41" x14ac:dyDescent="0.3">
      <c r="L239" s="106"/>
      <c r="M239" s="92"/>
      <c r="N239" s="106">
        <f>SUBTOTAL(9,N8:N120)</f>
        <v>9563696127</v>
      </c>
      <c r="O239" s="92"/>
      <c r="P239" s="92"/>
      <c r="Q239" s="92"/>
      <c r="R239" s="92"/>
      <c r="S239" s="92"/>
      <c r="T239" s="92"/>
      <c r="U239" s="92"/>
      <c r="V239" s="92"/>
      <c r="W239" s="92"/>
      <c r="X239" s="92"/>
      <c r="Y239" s="108"/>
      <c r="Z239" s="109"/>
      <c r="AA239" s="107"/>
      <c r="AB239" s="107"/>
      <c r="AC239" s="107"/>
      <c r="AD239" s="107"/>
      <c r="AE239" s="108"/>
      <c r="AF239" s="107"/>
      <c r="AG239" s="107"/>
      <c r="AH239" s="107"/>
      <c r="AI239" s="107"/>
      <c r="AJ239" s="107"/>
    </row>
    <row r="240" spans="1:41" x14ac:dyDescent="0.3">
      <c r="AH240" s="97"/>
    </row>
  </sheetData>
  <phoneticPr fontId="5" type="noConversion"/>
  <conditionalFormatting sqref="AG1">
    <cfRule type="duplicateValues" dxfId="251" priority="280"/>
  </conditionalFormatting>
  <conditionalFormatting sqref="AH1">
    <cfRule type="duplicateValues" dxfId="250" priority="279"/>
  </conditionalFormatting>
  <conditionalFormatting sqref="AK1">
    <cfRule type="duplicateValues" dxfId="249" priority="278"/>
  </conditionalFormatting>
  <conditionalFormatting sqref="AL1">
    <cfRule type="duplicateValues" dxfId="248" priority="277"/>
  </conditionalFormatting>
  <conditionalFormatting sqref="AI1">
    <cfRule type="duplicateValues" dxfId="247" priority="276"/>
  </conditionalFormatting>
  <conditionalFormatting sqref="AJ1">
    <cfRule type="duplicateValues" dxfId="246" priority="275"/>
  </conditionalFormatting>
  <conditionalFormatting sqref="AM1:AO1">
    <cfRule type="duplicateValues" dxfId="245" priority="274"/>
  </conditionalFormatting>
  <conditionalFormatting sqref="I65">
    <cfRule type="duplicateValues" dxfId="244" priority="270"/>
  </conditionalFormatting>
  <conditionalFormatting sqref="I77:I78 I66:I71 I27:I34 I74:I75 I62:I64 I37:I42">
    <cfRule type="duplicateValues" dxfId="243" priority="271"/>
  </conditionalFormatting>
  <conditionalFormatting sqref="I76">
    <cfRule type="duplicateValues" dxfId="242" priority="269"/>
  </conditionalFormatting>
  <conditionalFormatting sqref="I74:I78 I27:I34 I62:I71 I37:I42">
    <cfRule type="duplicateValues" dxfId="241" priority="268"/>
  </conditionalFormatting>
  <conditionalFormatting sqref="I76">
    <cfRule type="duplicateValues" dxfId="240" priority="267"/>
  </conditionalFormatting>
  <conditionalFormatting sqref="I3">
    <cfRule type="duplicateValues" dxfId="239" priority="255"/>
  </conditionalFormatting>
  <conditionalFormatting sqref="I3">
    <cfRule type="duplicateValues" dxfId="238" priority="256"/>
  </conditionalFormatting>
  <conditionalFormatting sqref="I3">
    <cfRule type="duplicateValues" dxfId="237" priority="257"/>
  </conditionalFormatting>
  <conditionalFormatting sqref="I4">
    <cfRule type="duplicateValues" dxfId="236" priority="252"/>
  </conditionalFormatting>
  <conditionalFormatting sqref="I4">
    <cfRule type="duplicateValues" dxfId="235" priority="253"/>
  </conditionalFormatting>
  <conditionalFormatting sqref="I4">
    <cfRule type="duplicateValues" dxfId="234" priority="254"/>
  </conditionalFormatting>
  <conditionalFormatting sqref="I14">
    <cfRule type="duplicateValues" dxfId="233" priority="249"/>
  </conditionalFormatting>
  <conditionalFormatting sqref="I14">
    <cfRule type="duplicateValues" dxfId="232" priority="250"/>
  </conditionalFormatting>
  <conditionalFormatting sqref="I14">
    <cfRule type="duplicateValues" dxfId="231" priority="251"/>
  </conditionalFormatting>
  <conditionalFormatting sqref="I13">
    <cfRule type="duplicateValues" dxfId="230" priority="248"/>
  </conditionalFormatting>
  <conditionalFormatting sqref="I13">
    <cfRule type="duplicateValues" dxfId="229" priority="247"/>
  </conditionalFormatting>
  <conditionalFormatting sqref="I13">
    <cfRule type="duplicateValues" dxfId="228" priority="246"/>
  </conditionalFormatting>
  <conditionalFormatting sqref="I27:I28">
    <cfRule type="duplicateValues" dxfId="227" priority="244"/>
    <cfRule type="duplicateValues" dxfId="226" priority="245"/>
  </conditionalFormatting>
  <conditionalFormatting sqref="I79">
    <cfRule type="duplicateValues" dxfId="225" priority="239"/>
  </conditionalFormatting>
  <conditionalFormatting sqref="I79">
    <cfRule type="duplicateValues" dxfId="224" priority="240"/>
  </conditionalFormatting>
  <conditionalFormatting sqref="I80">
    <cfRule type="duplicateValues" dxfId="223" priority="237"/>
  </conditionalFormatting>
  <conditionalFormatting sqref="I80">
    <cfRule type="duplicateValues" dxfId="222" priority="238"/>
  </conditionalFormatting>
  <conditionalFormatting sqref="I81">
    <cfRule type="duplicateValues" dxfId="221" priority="235"/>
  </conditionalFormatting>
  <conditionalFormatting sqref="I81">
    <cfRule type="duplicateValues" dxfId="220" priority="236"/>
  </conditionalFormatting>
  <conditionalFormatting sqref="I82">
    <cfRule type="duplicateValues" dxfId="219" priority="233"/>
  </conditionalFormatting>
  <conditionalFormatting sqref="I82">
    <cfRule type="duplicateValues" dxfId="218" priority="234"/>
  </conditionalFormatting>
  <conditionalFormatting sqref="I83">
    <cfRule type="duplicateValues" dxfId="217" priority="231"/>
  </conditionalFormatting>
  <conditionalFormatting sqref="I83">
    <cfRule type="duplicateValues" dxfId="216" priority="232"/>
  </conditionalFormatting>
  <conditionalFormatting sqref="I84">
    <cfRule type="duplicateValues" dxfId="215" priority="229"/>
  </conditionalFormatting>
  <conditionalFormatting sqref="I84">
    <cfRule type="duplicateValues" dxfId="214" priority="230"/>
  </conditionalFormatting>
  <conditionalFormatting sqref="I85">
    <cfRule type="duplicateValues" dxfId="213" priority="227"/>
  </conditionalFormatting>
  <conditionalFormatting sqref="I85">
    <cfRule type="duplicateValues" dxfId="212" priority="228"/>
  </conditionalFormatting>
  <conditionalFormatting sqref="I86">
    <cfRule type="duplicateValues" dxfId="211" priority="225"/>
  </conditionalFormatting>
  <conditionalFormatting sqref="I86">
    <cfRule type="duplicateValues" dxfId="210" priority="226"/>
  </conditionalFormatting>
  <conditionalFormatting sqref="I87:I88">
    <cfRule type="duplicateValues" dxfId="209" priority="223"/>
  </conditionalFormatting>
  <conditionalFormatting sqref="I87:I88">
    <cfRule type="duplicateValues" dxfId="208" priority="224"/>
  </conditionalFormatting>
  <conditionalFormatting sqref="K99">
    <cfRule type="duplicateValues" dxfId="207" priority="202"/>
  </conditionalFormatting>
  <conditionalFormatting sqref="K99">
    <cfRule type="duplicateValues" dxfId="206" priority="203"/>
  </conditionalFormatting>
  <conditionalFormatting sqref="I79:I88">
    <cfRule type="duplicateValues" dxfId="205" priority="199"/>
  </conditionalFormatting>
  <conditionalFormatting sqref="I161 I121:I127 I129:I143 I145:I157">
    <cfRule type="duplicateValues" dxfId="204" priority="198"/>
  </conditionalFormatting>
  <conditionalFormatting sqref="I121:I127 I129:I143 I145:I157">
    <cfRule type="duplicateValues" dxfId="203" priority="197"/>
  </conditionalFormatting>
  <conditionalFormatting sqref="I121:I127">
    <cfRule type="duplicateValues" dxfId="202" priority="196"/>
  </conditionalFormatting>
  <conditionalFormatting sqref="I147:I149">
    <cfRule type="duplicateValues" dxfId="201" priority="195"/>
  </conditionalFormatting>
  <conditionalFormatting sqref="I158">
    <cfRule type="duplicateValues" dxfId="200" priority="193"/>
  </conditionalFormatting>
  <conditionalFormatting sqref="I158">
    <cfRule type="duplicateValues" dxfId="199" priority="192"/>
  </conditionalFormatting>
  <conditionalFormatting sqref="I158">
    <cfRule type="duplicateValues" dxfId="198" priority="194"/>
  </conditionalFormatting>
  <conditionalFormatting sqref="I159">
    <cfRule type="duplicateValues" dxfId="197" priority="190"/>
  </conditionalFormatting>
  <conditionalFormatting sqref="I159">
    <cfRule type="duplicateValues" dxfId="196" priority="191"/>
  </conditionalFormatting>
  <conditionalFormatting sqref="I159">
    <cfRule type="duplicateValues" dxfId="195" priority="189"/>
  </conditionalFormatting>
  <conditionalFormatting sqref="I159">
    <cfRule type="duplicateValues" dxfId="194" priority="188"/>
  </conditionalFormatting>
  <conditionalFormatting sqref="I160">
    <cfRule type="duplicateValues" dxfId="193" priority="187"/>
  </conditionalFormatting>
  <conditionalFormatting sqref="I160">
    <cfRule type="duplicateValues" dxfId="192" priority="186"/>
  </conditionalFormatting>
  <conditionalFormatting sqref="I160">
    <cfRule type="duplicateValues" dxfId="191" priority="185"/>
  </conditionalFormatting>
  <conditionalFormatting sqref="I121:I127 I129:I143 I145:I161">
    <cfRule type="duplicateValues" dxfId="190" priority="184"/>
  </conditionalFormatting>
  <conditionalFormatting sqref="I162:I166 I179:I188">
    <cfRule type="duplicateValues" dxfId="189" priority="181"/>
  </conditionalFormatting>
  <conditionalFormatting sqref="I162:I166">
    <cfRule type="duplicateValues" dxfId="188" priority="182"/>
  </conditionalFormatting>
  <conditionalFormatting sqref="I162:I166">
    <cfRule type="duplicateValues" dxfId="187" priority="183"/>
  </conditionalFormatting>
  <conditionalFormatting sqref="I167 I177:I178 I169:I175">
    <cfRule type="duplicateValues" dxfId="186" priority="180"/>
  </conditionalFormatting>
  <conditionalFormatting sqref="I15:I24 I2 I9:I11 I5:I6 I26">
    <cfRule type="duplicateValues" dxfId="185" priority="281"/>
  </conditionalFormatting>
  <conditionalFormatting sqref="I15:I24 I9:I11 I2 I5:I6 I26">
    <cfRule type="duplicateValues" dxfId="184" priority="282"/>
  </conditionalFormatting>
  <conditionalFormatting sqref="I15:I24 I5:I6 I2 I8:I11 I26">
    <cfRule type="duplicateValues" dxfId="183" priority="283"/>
  </conditionalFormatting>
  <conditionalFormatting sqref="I74:I88 I2:I6 I8:I11 I62:I71 I13:I24 I26:I34 I37:I42">
    <cfRule type="duplicateValues" dxfId="182" priority="284"/>
  </conditionalFormatting>
  <conditionalFormatting sqref="I74:I78 I2:I6 I8:I11 I62:I71 I13:I24 I26:I34 I37:I42">
    <cfRule type="duplicateValues" dxfId="181" priority="285"/>
  </conditionalFormatting>
  <conditionalFormatting sqref="I74:I88 I2:I6 I8:I11 I121:I127 I129:I143 I62:I71 I145:I161 I13:I24 I26:I34 I37:I42">
    <cfRule type="duplicateValues" dxfId="180" priority="286"/>
  </conditionalFormatting>
  <conditionalFormatting sqref="I74:I88 I2:I6 I8:I11 I121:I127 I129:I143 I62:I71 I145:I167 I13:I24 I26:I34 I37:I42 I177:I188 I169:I175">
    <cfRule type="duplicateValues" dxfId="179" priority="287"/>
  </conditionalFormatting>
  <conditionalFormatting sqref="I219:I237 I189:I194 I196:I217">
    <cfRule type="duplicateValues" dxfId="178" priority="175"/>
  </conditionalFormatting>
  <conditionalFormatting sqref="I189:I194 I196:I217 I219:I237">
    <cfRule type="duplicateValues" dxfId="177" priority="176"/>
  </conditionalFormatting>
  <conditionalFormatting sqref="I189:I194">
    <cfRule type="duplicateValues" dxfId="176" priority="177"/>
  </conditionalFormatting>
  <conditionalFormatting sqref="I195">
    <cfRule type="duplicateValues" dxfId="175" priority="172"/>
  </conditionalFormatting>
  <conditionalFormatting sqref="I195">
    <cfRule type="duplicateValues" dxfId="174" priority="173"/>
  </conditionalFormatting>
  <conditionalFormatting sqref="I195">
    <cfRule type="duplicateValues" dxfId="173" priority="174"/>
  </conditionalFormatting>
  <conditionalFormatting sqref="I189:I217 I219:I237">
    <cfRule type="duplicateValues" dxfId="172" priority="178"/>
  </conditionalFormatting>
  <conditionalFormatting sqref="I189:I217">
    <cfRule type="duplicateValues" dxfId="171" priority="179"/>
  </conditionalFormatting>
  <conditionalFormatting sqref="I189:I217">
    <cfRule type="duplicateValues" dxfId="170" priority="171"/>
  </conditionalFormatting>
  <conditionalFormatting sqref="I74:I88 I8:I11 I121:I127 I129:I143 I62:I71 I145:I167 I13:I24 I26:I34 I37:I42 I177:I217 I169:I175">
    <cfRule type="duplicateValues" dxfId="169" priority="170"/>
  </conditionalFormatting>
  <conditionalFormatting sqref="I179">
    <cfRule type="duplicateValues" dxfId="168" priority="166"/>
  </conditionalFormatting>
  <conditionalFormatting sqref="I179">
    <cfRule type="duplicateValues" dxfId="167" priority="167"/>
  </conditionalFormatting>
  <conditionalFormatting sqref="I179">
    <cfRule type="duplicateValues" dxfId="166" priority="168"/>
  </conditionalFormatting>
  <conditionalFormatting sqref="I179">
    <cfRule type="duplicateValues" dxfId="165" priority="169"/>
  </conditionalFormatting>
  <conditionalFormatting sqref="I7:I11 I62:I88 I121:I143 I145:I167 I13:I24 I26:I34 I37:I42 I177:I218 I169:I175">
    <cfRule type="duplicateValues" dxfId="164" priority="165"/>
  </conditionalFormatting>
  <conditionalFormatting sqref="Z177:Z237">
    <cfRule type="duplicateValues" dxfId="163" priority="164"/>
  </conditionalFormatting>
  <conditionalFormatting sqref="Z13:Z20">
    <cfRule type="duplicateValues" dxfId="162" priority="161"/>
  </conditionalFormatting>
  <conditionalFormatting sqref="Z21">
    <cfRule type="duplicateValues" dxfId="161" priority="160"/>
  </conditionalFormatting>
  <conditionalFormatting sqref="Z22">
    <cfRule type="duplicateValues" dxfId="160" priority="159"/>
  </conditionalFormatting>
  <conditionalFormatting sqref="Z37:Z61">
    <cfRule type="duplicateValues" dxfId="159" priority="157"/>
  </conditionalFormatting>
  <conditionalFormatting sqref="Z62:Z88">
    <cfRule type="duplicateValues" dxfId="158" priority="156"/>
  </conditionalFormatting>
  <conditionalFormatting sqref="I44:I61">
    <cfRule type="duplicateValues" dxfId="157" priority="148"/>
    <cfRule type="duplicateValues" dxfId="156" priority="149"/>
    <cfRule type="duplicateValues" dxfId="155" priority="150"/>
    <cfRule type="duplicateValues" dxfId="154" priority="151"/>
    <cfRule type="duplicateValues" dxfId="153" priority="152"/>
    <cfRule type="duplicateValues" dxfId="152" priority="153"/>
    <cfRule type="duplicateValues" dxfId="151" priority="154"/>
    <cfRule type="duplicateValues" dxfId="150" priority="155"/>
  </conditionalFormatting>
  <conditionalFormatting sqref="Z23:Z24 Z26:Z34">
    <cfRule type="duplicateValues" dxfId="149" priority="346"/>
  </conditionalFormatting>
  <conditionalFormatting sqref="Z2:Z11">
    <cfRule type="duplicateValues" dxfId="148" priority="147"/>
  </conditionalFormatting>
  <conditionalFormatting sqref="I89:I90">
    <cfRule type="duplicateValues" dxfId="147" priority="123"/>
    <cfRule type="duplicateValues" dxfId="146" priority="124"/>
    <cfRule type="duplicateValues" dxfId="145" priority="125"/>
    <cfRule type="duplicateValues" dxfId="144" priority="126"/>
    <cfRule type="duplicateValues" dxfId="143" priority="127"/>
    <cfRule type="duplicateValues" dxfId="142" priority="128"/>
    <cfRule type="duplicateValues" dxfId="141" priority="129"/>
    <cfRule type="duplicateValues" dxfId="140" priority="130"/>
  </conditionalFormatting>
  <conditionalFormatting sqref="I104 I107 I112:I114">
    <cfRule type="duplicateValues" dxfId="139" priority="115"/>
    <cfRule type="duplicateValues" dxfId="138" priority="116"/>
    <cfRule type="duplicateValues" dxfId="137" priority="117"/>
    <cfRule type="duplicateValues" dxfId="136" priority="118"/>
    <cfRule type="duplicateValues" dxfId="135" priority="119"/>
    <cfRule type="duplicateValues" dxfId="134" priority="120"/>
    <cfRule type="duplicateValues" dxfId="133" priority="121"/>
    <cfRule type="duplicateValues" dxfId="132" priority="122"/>
  </conditionalFormatting>
  <conditionalFormatting sqref="I108">
    <cfRule type="duplicateValues" dxfId="131" priority="107"/>
    <cfRule type="duplicateValues" dxfId="130" priority="108"/>
    <cfRule type="duplicateValues" dxfId="129" priority="109"/>
    <cfRule type="duplicateValues" dxfId="128" priority="110"/>
    <cfRule type="duplicateValues" dxfId="127" priority="111"/>
    <cfRule type="duplicateValues" dxfId="126" priority="112"/>
    <cfRule type="duplicateValues" dxfId="125" priority="113"/>
    <cfRule type="duplicateValues" dxfId="124" priority="114"/>
  </conditionalFormatting>
  <conditionalFormatting sqref="I109 I105:I106">
    <cfRule type="duplicateValues" dxfId="123" priority="131"/>
    <cfRule type="duplicateValues" dxfId="122" priority="132"/>
    <cfRule type="duplicateValues" dxfId="121" priority="133"/>
    <cfRule type="duplicateValues" dxfId="120" priority="134"/>
    <cfRule type="duplicateValues" dxfId="119" priority="135"/>
    <cfRule type="duplicateValues" dxfId="118" priority="136"/>
    <cfRule type="duplicateValues" dxfId="117" priority="137"/>
    <cfRule type="duplicateValues" dxfId="116" priority="138"/>
  </conditionalFormatting>
  <conditionalFormatting sqref="I110:I111 I95:I103">
    <cfRule type="duplicateValues" dxfId="115" priority="139"/>
    <cfRule type="duplicateValues" dxfId="114" priority="140"/>
    <cfRule type="duplicateValues" dxfId="113" priority="141"/>
    <cfRule type="duplicateValues" dxfId="112" priority="142"/>
    <cfRule type="duplicateValues" dxfId="111" priority="143"/>
    <cfRule type="duplicateValues" dxfId="110" priority="144"/>
    <cfRule type="duplicateValues" dxfId="109" priority="145"/>
    <cfRule type="duplicateValues" dxfId="108" priority="146"/>
  </conditionalFormatting>
  <conditionalFormatting sqref="Z89:Z114">
    <cfRule type="duplicateValues" dxfId="107" priority="106"/>
  </conditionalFormatting>
  <conditionalFormatting sqref="AC99">
    <cfRule type="duplicateValues" dxfId="106" priority="104"/>
  </conditionalFormatting>
  <conditionalFormatting sqref="AC99">
    <cfRule type="duplicateValues" dxfId="105" priority="105"/>
  </conditionalFormatting>
  <conditionalFormatting sqref="I115">
    <cfRule type="duplicateValues" dxfId="104" priority="88"/>
    <cfRule type="duplicateValues" dxfId="103" priority="89"/>
    <cfRule type="duplicateValues" dxfId="102" priority="90"/>
    <cfRule type="duplicateValues" dxfId="101" priority="91"/>
    <cfRule type="duplicateValues" dxfId="100" priority="92"/>
    <cfRule type="duplicateValues" dxfId="99" priority="93"/>
    <cfRule type="duplicateValues" dxfId="98" priority="94"/>
    <cfRule type="duplicateValues" dxfId="97" priority="95"/>
  </conditionalFormatting>
  <conditionalFormatting sqref="I116:I118">
    <cfRule type="duplicateValues" dxfId="96" priority="96"/>
    <cfRule type="duplicateValues" dxfId="95" priority="97"/>
    <cfRule type="duplicateValues" dxfId="94" priority="98"/>
    <cfRule type="duplicateValues" dxfId="93" priority="99"/>
    <cfRule type="duplicateValues" dxfId="92" priority="100"/>
    <cfRule type="duplicateValues" dxfId="91" priority="101"/>
    <cfRule type="duplicateValues" dxfId="90" priority="102"/>
    <cfRule type="duplicateValues" dxfId="89" priority="103"/>
  </conditionalFormatting>
  <conditionalFormatting sqref="Z115:Z120">
    <cfRule type="duplicateValues" dxfId="88" priority="87"/>
  </conditionalFormatting>
  <conditionalFormatting sqref="Z121">
    <cfRule type="duplicateValues" dxfId="87" priority="86"/>
  </conditionalFormatting>
  <conditionalFormatting sqref="I62:I88 I2:I11 I121:I143 I145:I167 I13:I24 I26:I34 I37:I42 I177:I237 I169:I175">
    <cfRule type="duplicateValues" dxfId="86" priority="380"/>
  </conditionalFormatting>
  <conditionalFormatting sqref="Z122:Z143">
    <cfRule type="duplicateValues" dxfId="85" priority="384"/>
  </conditionalFormatting>
  <conditionalFormatting sqref="Z145:Z167">
    <cfRule type="duplicateValues" dxfId="84" priority="84"/>
  </conditionalFormatting>
  <conditionalFormatting sqref="Z169:Z175">
    <cfRule type="duplicateValues" dxfId="83" priority="83"/>
  </conditionalFormatting>
  <conditionalFormatting sqref="I144">
    <cfRule type="duplicateValues" dxfId="82" priority="78"/>
  </conditionalFormatting>
  <conditionalFormatting sqref="I144">
    <cfRule type="duplicateValues" dxfId="81" priority="77"/>
  </conditionalFormatting>
  <conditionalFormatting sqref="I144">
    <cfRule type="duplicateValues" dxfId="80" priority="76"/>
  </conditionalFormatting>
  <conditionalFormatting sqref="I144">
    <cfRule type="duplicateValues" dxfId="79" priority="75"/>
  </conditionalFormatting>
  <conditionalFormatting sqref="I144">
    <cfRule type="duplicateValues" dxfId="78" priority="79"/>
  </conditionalFormatting>
  <conditionalFormatting sqref="I144">
    <cfRule type="duplicateValues" dxfId="77" priority="80"/>
  </conditionalFormatting>
  <conditionalFormatting sqref="I144">
    <cfRule type="duplicateValues" dxfId="76" priority="74"/>
  </conditionalFormatting>
  <conditionalFormatting sqref="I144">
    <cfRule type="duplicateValues" dxfId="75" priority="73"/>
  </conditionalFormatting>
  <conditionalFormatting sqref="I144">
    <cfRule type="duplicateValues" dxfId="74" priority="81"/>
  </conditionalFormatting>
  <conditionalFormatting sqref="Z144">
    <cfRule type="duplicateValues" dxfId="73" priority="82"/>
  </conditionalFormatting>
  <conditionalFormatting sqref="Z12">
    <cfRule type="duplicateValues" dxfId="72" priority="64"/>
  </conditionalFormatting>
  <conditionalFormatting sqref="I12">
    <cfRule type="duplicateValues" dxfId="71" priority="56"/>
    <cfRule type="duplicateValues" dxfId="70" priority="57"/>
    <cfRule type="duplicateValues" dxfId="69" priority="58"/>
    <cfRule type="duplicateValues" dxfId="68" priority="59"/>
    <cfRule type="duplicateValues" dxfId="67" priority="60"/>
    <cfRule type="duplicateValues" dxfId="66" priority="61"/>
    <cfRule type="duplicateValues" dxfId="65" priority="62"/>
    <cfRule type="duplicateValues" dxfId="64" priority="63"/>
  </conditionalFormatting>
  <conditionalFormatting sqref="I43">
    <cfRule type="duplicateValues" dxfId="63" priority="48"/>
    <cfRule type="duplicateValues" dxfId="62" priority="49"/>
    <cfRule type="duplicateValues" dxfId="61" priority="50"/>
    <cfRule type="duplicateValues" dxfId="60" priority="51"/>
    <cfRule type="duplicateValues" dxfId="59" priority="52"/>
    <cfRule type="duplicateValues" dxfId="58" priority="53"/>
    <cfRule type="duplicateValues" dxfId="57" priority="54"/>
    <cfRule type="duplicateValues" dxfId="56" priority="55"/>
  </conditionalFormatting>
  <conditionalFormatting sqref="I25">
    <cfRule type="duplicateValues" dxfId="55" priority="39"/>
  </conditionalFormatting>
  <conditionalFormatting sqref="I25">
    <cfRule type="duplicateValues" dxfId="54" priority="40"/>
  </conditionalFormatting>
  <conditionalFormatting sqref="I25">
    <cfRule type="duplicateValues" dxfId="53" priority="41"/>
  </conditionalFormatting>
  <conditionalFormatting sqref="I25">
    <cfRule type="duplicateValues" dxfId="52" priority="42"/>
  </conditionalFormatting>
  <conditionalFormatting sqref="I25">
    <cfRule type="duplicateValues" dxfId="51" priority="43"/>
  </conditionalFormatting>
  <conditionalFormatting sqref="I25">
    <cfRule type="duplicateValues" dxfId="50" priority="44"/>
  </conditionalFormatting>
  <conditionalFormatting sqref="I25">
    <cfRule type="duplicateValues" dxfId="49" priority="45"/>
  </conditionalFormatting>
  <conditionalFormatting sqref="I25">
    <cfRule type="duplicateValues" dxfId="48" priority="38"/>
  </conditionalFormatting>
  <conditionalFormatting sqref="I25">
    <cfRule type="duplicateValues" dxfId="47" priority="37"/>
  </conditionalFormatting>
  <conditionalFormatting sqref="Z25">
    <cfRule type="duplicateValues" dxfId="46" priority="46"/>
  </conditionalFormatting>
  <conditionalFormatting sqref="I25">
    <cfRule type="duplicateValues" dxfId="45" priority="47"/>
  </conditionalFormatting>
  <conditionalFormatting sqref="I35">
    <cfRule type="duplicateValues" dxfId="44" priority="30"/>
  </conditionalFormatting>
  <conditionalFormatting sqref="I35">
    <cfRule type="duplicateValues" dxfId="43" priority="29"/>
  </conditionalFormatting>
  <conditionalFormatting sqref="I35">
    <cfRule type="duplicateValues" dxfId="42" priority="31"/>
  </conditionalFormatting>
  <conditionalFormatting sqref="I35">
    <cfRule type="duplicateValues" dxfId="41" priority="32"/>
  </conditionalFormatting>
  <conditionalFormatting sqref="I35">
    <cfRule type="duplicateValues" dxfId="40" priority="33"/>
  </conditionalFormatting>
  <conditionalFormatting sqref="I35">
    <cfRule type="duplicateValues" dxfId="39" priority="34"/>
  </conditionalFormatting>
  <conditionalFormatting sqref="I35">
    <cfRule type="duplicateValues" dxfId="38" priority="28"/>
  </conditionalFormatting>
  <conditionalFormatting sqref="I35">
    <cfRule type="duplicateValues" dxfId="37" priority="27"/>
  </conditionalFormatting>
  <conditionalFormatting sqref="Z35">
    <cfRule type="duplicateValues" dxfId="36" priority="35"/>
  </conditionalFormatting>
  <conditionalFormatting sqref="I35">
    <cfRule type="duplicateValues" dxfId="35" priority="36"/>
  </conditionalFormatting>
  <conditionalFormatting sqref="Z36">
    <cfRule type="duplicateValues" dxfId="34" priority="25"/>
  </conditionalFormatting>
  <conditionalFormatting sqref="I176">
    <cfRule type="duplicateValues" dxfId="33" priority="14"/>
  </conditionalFormatting>
  <conditionalFormatting sqref="I176">
    <cfRule type="duplicateValues" dxfId="32" priority="15"/>
  </conditionalFormatting>
  <conditionalFormatting sqref="I176">
    <cfRule type="duplicateValues" dxfId="31" priority="13"/>
  </conditionalFormatting>
  <conditionalFormatting sqref="I176">
    <cfRule type="duplicateValues" dxfId="30" priority="12"/>
  </conditionalFormatting>
  <conditionalFormatting sqref="I176">
    <cfRule type="duplicateValues" dxfId="29" priority="16"/>
  </conditionalFormatting>
  <conditionalFormatting sqref="Z176">
    <cfRule type="duplicateValues" dxfId="28" priority="11"/>
  </conditionalFormatting>
  <conditionalFormatting sqref="I168">
    <cfRule type="duplicateValues" dxfId="27" priority="7"/>
  </conditionalFormatting>
  <conditionalFormatting sqref="I168">
    <cfRule type="duplicateValues" dxfId="26" priority="6"/>
  </conditionalFormatting>
  <conditionalFormatting sqref="I168">
    <cfRule type="duplicateValues" dxfId="25" priority="5"/>
  </conditionalFormatting>
  <conditionalFormatting sqref="I168">
    <cfRule type="duplicateValues" dxfId="24" priority="4"/>
  </conditionalFormatting>
  <conditionalFormatting sqref="I168">
    <cfRule type="duplicateValues" dxfId="23" priority="8"/>
  </conditionalFormatting>
  <conditionalFormatting sqref="I168">
    <cfRule type="duplicateValues" dxfId="22" priority="9"/>
  </conditionalFormatting>
  <conditionalFormatting sqref="I168">
    <cfRule type="duplicateValues" dxfId="21" priority="3"/>
  </conditionalFormatting>
  <conditionalFormatting sqref="I168">
    <cfRule type="duplicateValues" dxfId="20" priority="2"/>
  </conditionalFormatting>
  <conditionalFormatting sqref="I168">
    <cfRule type="duplicateValues" dxfId="19" priority="10"/>
  </conditionalFormatting>
  <conditionalFormatting sqref="Z168">
    <cfRule type="duplicateValues" dxfId="18" priority="1"/>
  </conditionalFormatting>
  <dataValidations count="12">
    <dataValidation type="list" allowBlank="1" showInputMessage="1" showErrorMessage="1" sqref="AC18:AC43 AC63:AC88 AC13:AC16 AC176:AC237 AC119:AC173" xr:uid="{00000000-0002-0000-0200-000003000000}">
      <formula1>"1,2,3,4,5,6,7,8,9,10,11,12"</formula1>
    </dataValidation>
    <dataValidation type="list" allowBlank="1" showInputMessage="1" showErrorMessage="1" sqref="AD180:AD187 AD189:AD237 AD2:AD178" xr:uid="{00000000-0002-0000-0200-000005000000}">
      <formula1>"DÍAS,MESES,AÑOS"</formula1>
    </dataValidation>
    <dataValidation type="list" allowBlank="1" showInputMessage="1" showErrorMessage="1" sqref="AB189:AB237 AB121:AB159 AB89:AB119 AB161 AB22:AB36 AA215 AB41:AB42 AB164:AB187" xr:uid="{00000000-0002-0000-0200-000006000000}">
      <formula1>"ENERO,FEBRERO,MARZO,ABRIL,MAYO,JUNIO,JULIO,AGOSTO,SEPTIEMBRE,OCTUBRE,NOVIEMBRE"</formula1>
    </dataValidation>
    <dataValidation type="textLength" operator="lessThan" allowBlank="1" showInputMessage="1" showErrorMessage="1" sqref="W15:X15 W17:X17 W13:X13 W101:W163 W27:X36 W38:W98 X88:X98 X8 X101:X118 X38:X48 X50:X85 X121:X163 W10:X11 W165:X237" xr:uid="{00000000-0002-0000-0200-000007000000}">
      <formula1>300</formula1>
    </dataValidation>
    <dataValidation type="list" allowBlank="1" showInputMessage="1" showErrorMessage="1" sqref="AA216:AA237 AB160 AA189:AA214 AA22:AA87 AB37:AB40 AA121:AA161 AA88:AB88 AA2:AB21 AB43:AB87 AA89:AA119 AA120:AB120 AA164:AA187" xr:uid="{00000000-0002-0000-0200-000008000000}">
      <formula1>"ENERO,FEBRERO,MARZO,ABRIL,MAYO,JUNIO,JULIO,AGOSTO,SEPTIEMBRE,OCTUBRE,NOVIEMBRE,DICIEMBRE"</formula1>
    </dataValidation>
    <dataValidation type="list" allowBlank="1" showInputMessage="1" showErrorMessage="1" sqref="AL1 J87 J119 J177:J237" xr:uid="{00000000-0002-0000-0200-00000A000000}">
      <formula1>#REF!</formula1>
    </dataValidation>
    <dataValidation allowBlank="1" showInputMessage="1" showErrorMessage="1" promptTitle="Códigos UNSPSC" prompt="Bienes, obras y servicios deben ser identificados con códigos UNSPSC. _x000a__x000a_Se deben incluir todos los códigos que identifiquen al servicio a contratar y/o producto a adquirir, separados por punto y coma sin espacio._x000a__x000a_" sqref="Y23:Y36" xr:uid="{02A89AE3-729F-4DB9-B4BF-F3CF28AE4F9B}"/>
    <dataValidation type="list" allowBlank="1" showInputMessage="1" showErrorMessage="1" sqref="AL2:AL237" xr:uid="{00000000-0002-0000-0200-000000000000}">
      <formula1>"Bogotá,Funza"</formula1>
    </dataValidation>
    <dataValidation type="list" allowBlank="1" showInputMessage="1" showErrorMessage="1" sqref="AI2:AI237" xr:uid="{00000000-0002-0000-0200-000001000000}">
      <formula1>"SI,NO"</formula1>
    </dataValidation>
    <dataValidation type="list" allowBlank="1" showInputMessage="1" showErrorMessage="1" sqref="AJ2:AJ237" xr:uid="{00000000-0002-0000-0200-000002000000}">
      <formula1>"Aprobadas,No Aplica,Solicitadas,No Solicitadas"</formula1>
    </dataValidation>
    <dataValidation type="list" allowBlank="1" showInputMessage="1" showErrorMessage="1" sqref="H2:H237 F2:F237" xr:uid="{00000000-0002-0000-0200-000004000000}">
      <formula1>INDIRECT(E2)</formula1>
    </dataValidation>
    <dataValidation type="list" allowBlank="1" showInputMessage="1" showErrorMessage="1" sqref="AK2:AK237" xr:uid="{00000000-0002-0000-0200-00000B000000}">
      <formula1>"PROCESO DE GESTIÓN CONTRACTUAL"</formula1>
    </dataValidation>
  </dataValidations>
  <hyperlinks>
    <hyperlink ref="AO23" r:id="rId1" xr:uid="{FE22661F-FC7D-430E-8E82-1340774C18B8}"/>
    <hyperlink ref="AO24:AO31" r:id="rId2" display="adela.diaz@archivogeneral.gov.co" xr:uid="{B435C598-D969-466E-8A14-D7323F314614}"/>
    <hyperlink ref="AO19:AO22" r:id="rId3" display="gloribel.rodriguez@archivogeneral.gov.co" xr:uid="{439E0D9B-9A8A-411C-BBB2-BE1803146A5B}"/>
    <hyperlink ref="AO37" r:id="rId4" xr:uid="{B15D15B7-F4A7-47B8-94A9-928EA6885A9E}"/>
    <hyperlink ref="AO38" r:id="rId5" xr:uid="{5F7C27DD-71CF-4CCD-BF29-C338A25C0C66}"/>
    <hyperlink ref="AO39" r:id="rId6" xr:uid="{13FE4018-4564-4C48-BEFC-15E81CD7C783}"/>
    <hyperlink ref="AO40" r:id="rId7" xr:uid="{48755348-0A0D-4B03-B792-8970A1A2A5E1}"/>
    <hyperlink ref="AO41" r:id="rId8" xr:uid="{2920C143-3D52-4146-8F75-4ECDADD82A33}"/>
    <hyperlink ref="AO42" r:id="rId9" xr:uid="{383A0272-C2D1-47B9-BD85-637D881AA34B}"/>
    <hyperlink ref="AO43" r:id="rId10" xr:uid="{9849827E-F49D-46C3-88B3-AE6CF9B5375A}"/>
    <hyperlink ref="AO62" r:id="rId11" xr:uid="{01118EE7-C977-4218-B76D-C07BCCEC72AC}"/>
    <hyperlink ref="AO63" r:id="rId12" xr:uid="{FD417F30-185D-483D-9EDF-4868F0D60BB9}"/>
    <hyperlink ref="AO64" r:id="rId13" xr:uid="{671BBAF9-0405-421F-9E48-69858898890B}"/>
    <hyperlink ref="AO65" r:id="rId14" xr:uid="{46AD013B-2E42-4C83-A2FC-BE81F154DF6C}"/>
    <hyperlink ref="AO66" r:id="rId15" xr:uid="{13B14660-4199-46DD-9BF1-DE9A7E927091}"/>
    <hyperlink ref="AO67" r:id="rId16" xr:uid="{0FCAB981-2E7E-4FC7-9923-B1B56B112B44}"/>
    <hyperlink ref="AO68" r:id="rId17" xr:uid="{839A6876-536C-488F-B29B-F88E5929045F}"/>
    <hyperlink ref="AO69" r:id="rId18" xr:uid="{F18CA3B8-2FAB-4601-A75D-B7B9DE24AE8F}"/>
    <hyperlink ref="AO70" r:id="rId19" xr:uid="{2FDFA7CB-A1C2-424B-9911-CFD20B20C988}"/>
    <hyperlink ref="AO71" r:id="rId20" xr:uid="{689E75DF-FBF8-479B-B646-4E6F4B9BA5BE}"/>
    <hyperlink ref="AO72" r:id="rId21" xr:uid="{C72E6E31-C236-4845-9A78-EBC79C64B24C}"/>
    <hyperlink ref="AO73" r:id="rId22" xr:uid="{50FA1DB7-93D1-4248-AFD6-C6603A4DA2FF}"/>
    <hyperlink ref="AO74" r:id="rId23" xr:uid="{0B7A5D76-C61F-43EF-9D4E-3900562C1E7C}"/>
    <hyperlink ref="AO75" r:id="rId24" xr:uid="{B79D9A5D-91E7-48F3-BD49-87C439207399}"/>
    <hyperlink ref="AO76" r:id="rId25" xr:uid="{C911C0E3-DE9F-43C9-A1D0-D819A8787F38}"/>
    <hyperlink ref="AO77" r:id="rId26" xr:uid="{81F0CA0E-A868-47C7-A230-A801357B5541}"/>
    <hyperlink ref="AO78" r:id="rId27" xr:uid="{E7FB21E7-89D9-4D5D-8E36-1C772402984A}"/>
    <hyperlink ref="AO79" r:id="rId28" xr:uid="{0165DD78-B538-48E6-99E2-0F02A4283AC9}"/>
    <hyperlink ref="AO80" r:id="rId29" xr:uid="{93EA6414-D0B1-4679-8940-3B84C5634C0D}"/>
    <hyperlink ref="AO81" r:id="rId30" xr:uid="{012412BB-1DAE-4C2F-BD38-00D68C0A7F1F}"/>
    <hyperlink ref="AO82" r:id="rId31" xr:uid="{ADBA0501-642A-48CB-A455-E89977526A75}"/>
    <hyperlink ref="AO83" r:id="rId32" xr:uid="{49DDE2C0-92AA-40F1-9696-88C814DEA7F6}"/>
    <hyperlink ref="AO84" r:id="rId33" xr:uid="{A069B219-B969-42B2-90AC-95739908A482}"/>
    <hyperlink ref="AO85" r:id="rId34" xr:uid="{3BE5A2C9-2BAE-4FA8-8177-07386440A6EE}"/>
    <hyperlink ref="AO86" r:id="rId35" xr:uid="{74435908-C757-47C9-9071-3992A021C6DE}"/>
    <hyperlink ref="AO88" r:id="rId36" xr:uid="{F468A08B-225A-4CB5-BC40-6C6DF66FDABC}"/>
    <hyperlink ref="AO44" r:id="rId37" xr:uid="{2F720EC6-22D3-40E6-8B93-E753690819DE}"/>
    <hyperlink ref="AO45" r:id="rId38" xr:uid="{631ED5E9-ED9A-4CF2-B333-D7124751993F}"/>
    <hyperlink ref="AO46" r:id="rId39" xr:uid="{A01260EC-78F9-46C5-8136-1E1AB2F82E72}"/>
    <hyperlink ref="AO47" r:id="rId40" xr:uid="{235A86FB-E0D3-44EC-A059-A0C5E4C13E8C}"/>
    <hyperlink ref="AO48" r:id="rId41" xr:uid="{2641923F-85D9-4D2D-B55E-822D7EECF0F0}"/>
    <hyperlink ref="AO50" r:id="rId42" xr:uid="{22AE7C0A-622C-4233-8A17-C0E734D5D080}"/>
    <hyperlink ref="AO51" r:id="rId43" xr:uid="{A3F550E7-B118-4D3A-A4B7-8B2DAD400923}"/>
    <hyperlink ref="AO52" r:id="rId44" xr:uid="{3B568749-6335-4556-8677-3AD2CC8CBABC}"/>
    <hyperlink ref="AO53" r:id="rId45" xr:uid="{C78D829D-02C5-4B79-93E5-7AD1B0ED8A27}"/>
    <hyperlink ref="AO54" r:id="rId46" xr:uid="{4A4BCD68-F6A3-4057-999D-496EA962E7F2}"/>
    <hyperlink ref="AO55" r:id="rId47" xr:uid="{992A7E2E-65DD-433E-B606-ECE905AB8A15}"/>
    <hyperlink ref="AO56" r:id="rId48" xr:uid="{6555A99E-D005-403C-9065-25AF42A176BC}"/>
    <hyperlink ref="AO57" r:id="rId49" xr:uid="{7D89C1D6-13B4-454A-893A-3DCA4C1B460B}"/>
    <hyperlink ref="AO58" r:id="rId50" xr:uid="{CE6B5629-7C6C-4189-8FF3-E64AA698E741}"/>
    <hyperlink ref="AO59" r:id="rId51" xr:uid="{E61CABED-9EC1-4F98-985D-45C632C1D885}"/>
    <hyperlink ref="AO60" r:id="rId52" xr:uid="{6EE59086-7BE2-467E-A3BF-CD76016A8BED}"/>
    <hyperlink ref="AO61" r:id="rId53" xr:uid="{A13F7326-D5A2-4A22-ADDB-09F852360111}"/>
    <hyperlink ref="AO32" r:id="rId54" xr:uid="{34805D3E-4DF1-4638-93F8-2A5A11441D1D}"/>
    <hyperlink ref="AO33" r:id="rId55" xr:uid="{A2B33CC0-48A9-4E70-86D6-0917E3F39B4D}"/>
    <hyperlink ref="AO34" r:id="rId56" xr:uid="{40966DD8-6E30-49B4-B602-2795DB740617}"/>
    <hyperlink ref="AO13" r:id="rId57" display="gloribel.rodriguez@archivogeneral.gov.co" xr:uid="{F4E4D78B-C824-47A6-AE50-CD71CA43D922}"/>
    <hyperlink ref="AO14" r:id="rId58" display="gloribel.rodriguez@archivogeneral.gov.co" xr:uid="{C116972F-C9F3-490D-B1A6-64A2EDA88682}"/>
    <hyperlink ref="AO15" r:id="rId59" display="gloribel.rodriguez@archivogeneral.gov.co" xr:uid="{5ADDBA87-5E84-4341-9C57-542B4CEE5D8D}"/>
    <hyperlink ref="AO18" r:id="rId60" display="gloribel.rodriguez@archivogeneral.gov.co" xr:uid="{B53E809B-2C1A-41B6-9A81-B5E7DA079D30}"/>
    <hyperlink ref="AO19" r:id="rId61" display="gloribel.rodriguez@archivogeneral.gov.co" xr:uid="{06F1B915-DAB7-4344-996E-56CAF15C2C19}"/>
    <hyperlink ref="AO20" r:id="rId62" display="gloribel.rodriguez@archivogeneral.gov.co" xr:uid="{CB794B5A-C516-4FC8-8A1A-7FD3977996F2}"/>
    <hyperlink ref="AO21" r:id="rId63" display="gloribel.rodriguez@archivogeneral.gov.co" xr:uid="{CC3F4D51-F799-4DA6-B358-DCFA2DDD4F5F}"/>
    <hyperlink ref="AO22" r:id="rId64" display="gloribel.rodriguez@archivogeneral.gov.co" xr:uid="{DD054D08-D88C-4CDD-8FDD-0C7AC732C5B8}"/>
    <hyperlink ref="AO2" r:id="rId65" xr:uid="{31BED710-A8BC-43B8-BB8E-72F51F35D01D}"/>
    <hyperlink ref="AO5" r:id="rId66" xr:uid="{8F4EF5D7-F259-4110-8CD1-0ECA8AD358C9}"/>
    <hyperlink ref="AO6" r:id="rId67" xr:uid="{410A6DD5-D8BB-4B54-AAF8-DCC1A80CA290}"/>
    <hyperlink ref="AO8" r:id="rId68" xr:uid="{84813835-35CB-4E47-9FA0-3F356E780878}"/>
    <hyperlink ref="AO9" r:id="rId69" xr:uid="{12B4B589-510C-4823-AE29-A710A0C5B788}"/>
    <hyperlink ref="AO10" r:id="rId70" xr:uid="{818FBE47-0A45-45B4-87D5-D9F0DC5C3851}"/>
    <hyperlink ref="AO11" r:id="rId71" xr:uid="{5DB8CDDE-DCE5-4C05-BBBB-ECCE1D5616C4}"/>
    <hyperlink ref="AO89" r:id="rId72" xr:uid="{C579B2F3-CCAD-45EE-9023-3F09AF491716}"/>
    <hyperlink ref="AO90" r:id="rId73" xr:uid="{60DAA84A-496E-4846-91B1-73D45C1FBAC3}"/>
    <hyperlink ref="AO91" r:id="rId74" xr:uid="{AD8DA892-9C91-46E4-8C52-A2C6273BD293}"/>
    <hyperlink ref="AO92" r:id="rId75" xr:uid="{97B5AE68-5B8A-4D6D-A73A-43E6F1603130}"/>
    <hyperlink ref="AO93" r:id="rId76" xr:uid="{F716E8B7-0873-4A03-8F09-56BCA9080981}"/>
    <hyperlink ref="AO94" r:id="rId77" xr:uid="{947FF048-132E-4F43-BE7B-12BFDE0D3C75}"/>
    <hyperlink ref="AO95" r:id="rId78" xr:uid="{1AF6393C-7DF1-4597-B6C0-B48BABB8E3FD}"/>
    <hyperlink ref="AO96" r:id="rId79" xr:uid="{018A8F50-45C1-4683-A54B-5393BF35727A}"/>
    <hyperlink ref="AO97" r:id="rId80" xr:uid="{3141370A-57EF-4B7A-BCAA-B7181FA49C5E}"/>
    <hyperlink ref="AO98" r:id="rId81" xr:uid="{5A0C9D85-0478-443E-8B8E-EA5ACD5061F6}"/>
    <hyperlink ref="AO99" r:id="rId82" xr:uid="{32EB82F5-A3C1-42F2-B026-43BA9F37B6F8}"/>
    <hyperlink ref="AO100" r:id="rId83" xr:uid="{F0F9A49B-CAC3-4BB7-A456-2E23DE6AFE9E}"/>
    <hyperlink ref="AO101" r:id="rId84" xr:uid="{9822F26C-C4FE-4C49-8503-8FE2197FC709}"/>
    <hyperlink ref="AO102" r:id="rId85" xr:uid="{B3A8EE6D-2DBC-410E-AD58-E8DA6689D843}"/>
    <hyperlink ref="AO103" r:id="rId86" xr:uid="{CAD0C02C-9D38-44DA-AACC-36F105852A20}"/>
    <hyperlink ref="AO104" r:id="rId87" xr:uid="{3F5FA694-D126-4491-92D5-6C0C1CC178CE}"/>
    <hyperlink ref="AO105" r:id="rId88" xr:uid="{04D75564-B89C-4D37-838F-14E105D4B944}"/>
    <hyperlink ref="AO106" r:id="rId89" xr:uid="{AC77B490-50B9-4204-ACAA-3A455228FF98}"/>
    <hyperlink ref="AO107" r:id="rId90" xr:uid="{3A0B53CE-EC0A-4186-9BE7-82BC022C1165}"/>
    <hyperlink ref="AO108" r:id="rId91" xr:uid="{A12C8E00-767C-4AAC-ABE0-9D1FCFA65727}"/>
    <hyperlink ref="AO109" r:id="rId92" xr:uid="{9DC927DB-6A36-4F2C-A07B-E18DDA29002C}"/>
    <hyperlink ref="AO110" r:id="rId93" xr:uid="{5B554F02-9629-4BD1-911F-D19BA78790B3}"/>
    <hyperlink ref="AO111" r:id="rId94" xr:uid="{D0F13D0B-17F3-44FF-BA2B-CB7EE0D23238}"/>
    <hyperlink ref="AO112" r:id="rId95" xr:uid="{45CDB558-DD7E-4AE4-8CCC-BAFB1E9FD59D}"/>
    <hyperlink ref="AO113" r:id="rId96" xr:uid="{543E0D2A-7A6C-4EF7-83B7-4468015C40BF}"/>
    <hyperlink ref="AO114" r:id="rId97" xr:uid="{95FEE6C6-0D97-42F2-94D3-BADFA8A7CBD4}"/>
    <hyperlink ref="AO17" r:id="rId98" xr:uid="{AF12F257-58A3-41C7-BAE8-65B52F1B36D2}"/>
    <hyperlink ref="AO115" r:id="rId99" xr:uid="{A602DF5A-BB8D-4C41-BEFE-41236B864B36}"/>
    <hyperlink ref="AO116" r:id="rId100" xr:uid="{BA60E020-14E2-4379-8651-1343813ACCD6}"/>
    <hyperlink ref="AO117" r:id="rId101" xr:uid="{04E1BDE0-8B61-4B5A-ABE6-F3463AED00E4}"/>
    <hyperlink ref="AO118" r:id="rId102" xr:uid="{88EAC54B-6BE5-4791-8BF7-7378E593E128}"/>
    <hyperlink ref="AO120" r:id="rId103" xr:uid="{0051CE7F-878E-46BD-9B71-4FE5EC7F59B3}"/>
    <hyperlink ref="AO121" r:id="rId104" xr:uid="{A9C87570-F8B5-40A6-83CE-D75678E2DD0C}"/>
    <hyperlink ref="AO122" r:id="rId105" xr:uid="{B06C356E-A16A-49FF-8AE3-591CC379E1EF}"/>
    <hyperlink ref="AO123" r:id="rId106" xr:uid="{A58F3DAB-4E5C-4658-AF8E-D25651D8D500}"/>
    <hyperlink ref="AO124" r:id="rId107" xr:uid="{4F45FE0C-F210-47EC-8332-0357B0A3244D}"/>
    <hyperlink ref="AO125" r:id="rId108" xr:uid="{24800EC4-3030-4CAB-BCF3-EE7FBE7561BD}"/>
    <hyperlink ref="AO126" r:id="rId109" xr:uid="{91FC8204-D82E-4B42-A956-D5D34D4EDC16}"/>
    <hyperlink ref="AO127" r:id="rId110" xr:uid="{B3DD96E1-AAC1-4F52-8C37-D558EAA954DA}"/>
    <hyperlink ref="AO128" r:id="rId111" xr:uid="{B32FF53A-6BAD-41A2-8611-C8C0A48CF1C4}"/>
    <hyperlink ref="AO129" r:id="rId112" xr:uid="{6AB34A07-0AF3-48A7-9E5A-04D98E6398F2}"/>
    <hyperlink ref="AO130" r:id="rId113" xr:uid="{4DD88C6A-F6D9-465F-84D9-D4108A3F2C63}"/>
    <hyperlink ref="AO131" r:id="rId114" xr:uid="{23E98377-74B3-4A06-8AFE-3F4C86FEB823}"/>
    <hyperlink ref="AO132" r:id="rId115" xr:uid="{954FFA49-0AA7-4669-A060-DE29EF08E97D}"/>
    <hyperlink ref="AO133" r:id="rId116" xr:uid="{92D759F9-5183-4224-96BE-C825E9597CE6}"/>
    <hyperlink ref="AO134" r:id="rId117" xr:uid="{120ED638-BD55-44BD-A351-AB8EA5A2321E}"/>
    <hyperlink ref="AO135" r:id="rId118" xr:uid="{76C84DAA-74B8-45B9-9921-05BD57C3EDB0}"/>
    <hyperlink ref="AO136" r:id="rId119" xr:uid="{1E16D09A-6397-4C66-90D3-A862DB0AF926}"/>
    <hyperlink ref="AO137" r:id="rId120" xr:uid="{78E0291A-7802-4826-814C-23CC4C9C06D5}"/>
    <hyperlink ref="AO138" r:id="rId121" xr:uid="{C1ADC393-AC1D-4CB2-9972-B06A38C90DA4}"/>
    <hyperlink ref="AO139" r:id="rId122" xr:uid="{803EA19D-7EE6-426E-BAAD-D73A1908AB00}"/>
    <hyperlink ref="AO140" r:id="rId123" xr:uid="{1E336E6F-2862-422A-9E01-E28175D1050D}"/>
    <hyperlink ref="AO141" r:id="rId124" xr:uid="{2095F1F9-D722-4C65-BA69-7F92DECC799B}"/>
    <hyperlink ref="AO142" r:id="rId125" xr:uid="{4E2F9A06-9F5B-4761-B38C-0190CDB15157}"/>
    <hyperlink ref="AO143" r:id="rId126" xr:uid="{F0A4EC32-7E7C-4EEC-9F4F-763DFF6EE45C}"/>
    <hyperlink ref="AO145" r:id="rId127" xr:uid="{B4A88367-ABF8-4428-ADF4-A5758AC480BB}"/>
    <hyperlink ref="AO146" r:id="rId128" xr:uid="{7A34D64B-11DE-4DA0-A29E-D6CA6B1E6866}"/>
    <hyperlink ref="AO147" r:id="rId129" xr:uid="{A7B7BA59-D16E-4179-9BC9-80E3F9EE4BF9}"/>
    <hyperlink ref="AO148" r:id="rId130" xr:uid="{CFB155C9-266D-406E-9F74-A8C224BB2B2F}"/>
    <hyperlink ref="AO149" r:id="rId131" xr:uid="{8716BFF0-62F4-4F26-9328-0B075A491098}"/>
    <hyperlink ref="AO150" r:id="rId132" xr:uid="{3D571F57-3675-45F9-AA0E-5EFB34AFF6E0}"/>
    <hyperlink ref="AO151" r:id="rId133" xr:uid="{D1146FDF-126B-4872-BF3F-5115FE6184D2}"/>
    <hyperlink ref="AO152" r:id="rId134" xr:uid="{2B8643C9-E65F-42BD-B847-B20791F8AE39}"/>
    <hyperlink ref="AO153" r:id="rId135" xr:uid="{69D8E51E-376B-44CA-827D-5367C30F6CAD}"/>
    <hyperlink ref="AO154" r:id="rId136" xr:uid="{55F43F14-C175-458C-B980-91E69224972C}"/>
    <hyperlink ref="AO155" r:id="rId137" xr:uid="{55382FEC-5326-4EC2-AD56-519F8D29ADCF}"/>
    <hyperlink ref="AO156" r:id="rId138" xr:uid="{CA221652-4684-4D8D-80FB-764EA295557F}"/>
    <hyperlink ref="AO157" r:id="rId139" xr:uid="{7DB2A96B-D549-47E3-BCA4-ED232F74E4C9}"/>
    <hyperlink ref="AO158" r:id="rId140" xr:uid="{4AB975EF-3B2D-4BD6-8301-E4DAD95CFA2C}"/>
    <hyperlink ref="AO159" r:id="rId141" xr:uid="{9C530ADE-C139-4DAD-80F1-32381CC58303}"/>
    <hyperlink ref="AO160" r:id="rId142" xr:uid="{B19AFDD4-E351-4637-B3DC-5F7F2A3908C4}"/>
    <hyperlink ref="AO161" r:id="rId143" xr:uid="{EB0C1DAC-B09C-424D-AC0F-75791FA34718}"/>
    <hyperlink ref="AO162" r:id="rId144" xr:uid="{41EE75D4-C2CF-455A-9AAD-8FD624078B0E}"/>
    <hyperlink ref="AO163" r:id="rId145" xr:uid="{90A9DE6C-F9D8-48A6-BC4E-9D6CBBCB3343}"/>
    <hyperlink ref="AO164" r:id="rId146" xr:uid="{5E31F74D-86DE-4A01-8505-22DE90DF3223}"/>
    <hyperlink ref="AO165" r:id="rId147" xr:uid="{4E8DED9D-486E-4D5E-A9D9-79D55F676BF9}"/>
    <hyperlink ref="AO166" r:id="rId148" xr:uid="{A8A34DF3-23B8-40D4-9B84-42C7D434D597}"/>
    <hyperlink ref="AO167" r:id="rId149" xr:uid="{6941C9C4-B7FE-4692-9F4A-0FA45FF341CA}"/>
    <hyperlink ref="AO169" r:id="rId150" xr:uid="{96B210C3-8C67-4023-B660-95B107F7FDE8}"/>
    <hyperlink ref="AO172" r:id="rId151" xr:uid="{686657F4-5307-4286-9003-8FEC404815F1}"/>
    <hyperlink ref="AO173" r:id="rId152" xr:uid="{30501395-C352-410C-804C-CA2D2C2938D6}"/>
    <hyperlink ref="AO170" r:id="rId153" xr:uid="{ED8FC886-B57E-48AF-9853-1BF1C0A1B71F}"/>
    <hyperlink ref="AO174" r:id="rId154" xr:uid="{15B2AA10-84A9-4E0F-A64F-A0BBFB8D6102}"/>
    <hyperlink ref="AO175" r:id="rId155" xr:uid="{EA111263-F671-47F5-99F5-CED319A7ABB7}"/>
    <hyperlink ref="AO144" r:id="rId156" xr:uid="{03FB1EC5-3725-44ED-9193-12BF72B676BE}"/>
    <hyperlink ref="AO12" r:id="rId157" xr:uid="{EA02B8A1-1D80-499B-84FA-9F444C920FEE}"/>
    <hyperlink ref="AO25" r:id="rId158" xr:uid="{8F46286E-8217-4882-8273-8259FFCE0516}"/>
    <hyperlink ref="AO35" r:id="rId159" xr:uid="{FFF1763D-F401-4EFE-BE7A-6C877E23A8B6}"/>
    <hyperlink ref="AO36" r:id="rId160" xr:uid="{8AFB25C3-4196-4D81-9E1C-A43132403D2F}"/>
    <hyperlink ref="AO176" r:id="rId161" xr:uid="{783B9DED-7519-4B92-A887-05E737AC6639}"/>
    <hyperlink ref="AO168" r:id="rId162" xr:uid="{9478500C-D91C-44BB-AF77-84C3B729D4F2}"/>
  </hyperlinks>
  <printOptions horizontalCentered="1"/>
  <pageMargins left="3.937007874015748E-2" right="0.70866141732283472" top="0.74803149606299213" bottom="0.74803149606299213" header="0.31496062992125984" footer="0.31496062992125984"/>
  <pageSetup paperSize="9" scale="20" orientation="landscape" horizontalDpi="300" verticalDpi="300" r:id="rId163"/>
  <headerFooter>
    <oddHeader>&amp;L&amp;G&amp;C&amp;"-,Negrita"FORMATO DE SOLICITUD DE RECURSOS&amp;R&amp;K000000PLE-FO-06</oddHeader>
    <oddFooter>&amp;CFavor imprimir a doble cara
Proceso: Planeacion Estrategica PLE, Versión del formato 01, Página &amp;P, formato vigente desde: 16-11-2022 
Este documento es fiel copia del original, su impresión se considera copia no controlada.</oddFooter>
  </headerFooter>
  <ignoredErrors>
    <ignoredError sqref="S13:U13 S14:U14 S15:U19 S37:U37" formulaRange="1"/>
    <ignoredError sqref="V37" evalError="1"/>
  </ignoredErrors>
  <legacyDrawingHF r:id="rId16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C000000}">
          <x14:formula1>
            <xm:f>'C:\Users\Diego Moreno\Downloads\[Copia de PAA 27122020 FORTALECIMIENTO.xlsx]DATOS'!#REF!</xm:f>
          </x14:formula1>
          <xm:sqref>B189:C237</xm:sqref>
        </x14:dataValidation>
        <x14:dataValidation type="list" allowBlank="1" showInputMessage="1" showErrorMessage="1" xr:uid="{00000000-0002-0000-0200-00000D000000}">
          <x14:formula1>
            <xm:f>'C:\Users\Diego Moreno\Downloads\[PAA 2021 28 12 2020.xlsx]DATOS'!#REF!</xm:f>
          </x14:formula1>
          <xm:sqref>AD188 AA188:AB188 AA162:AB163 Y188 B177:C188</xm:sqref>
        </x14:dataValidation>
        <x14:dataValidation type="list" allowBlank="1" showInputMessage="1" showErrorMessage="1" xr:uid="{00000000-0002-0000-0200-000016000000}">
          <x14:formula1>
            <xm:f>'https://archivogeneral-my.sharepoint.com/personal/jsalguero_archivogeneral_gov_co/Documents/Evidencias Procedimientos/04. Mayo/[PAA versión 5052020_sistemas - Mayo.xlsx]Datos'!#REF!</xm:f>
          </x14:formula1>
          <xm:sqref>AE1 AN1 AK1 Q1:R1 AA1:AC1 H1:I1 F1</xm:sqref>
        </x14:dataValidation>
        <x14:dataValidation type="list" allowBlank="1" showInputMessage="1" showErrorMessage="1" xr:uid="{9AB5B2A9-96E0-40F7-95C8-92A3110579CE}">
          <x14:formula1>
            <xm:f>DATOS!$C$3:$C$11</xm:f>
          </x14:formula1>
          <xm:sqref>B2:B61</xm:sqref>
        </x14:dataValidation>
        <x14:dataValidation type="list" allowBlank="1" showInputMessage="1" showErrorMessage="1" xr:uid="{4A663397-644E-4644-9624-0FC53CB8BCDD}">
          <x14:formula1>
            <xm:f>DATOS!$C$3:$C$14</xm:f>
          </x14:formula1>
          <xm:sqref>B62:B176</xm:sqref>
        </x14:dataValidation>
        <x14:dataValidation type="list" allowBlank="1" showInputMessage="1" showErrorMessage="1" xr:uid="{54A33B0B-25EE-4CF7-96E8-BE3CDFC1E3FE}">
          <x14:formula1>
            <xm:f>DATOS!$E$3:$E$4</xm:f>
          </x14:formula1>
          <xm:sqref>D2:D237</xm:sqref>
        </x14:dataValidation>
        <x14:dataValidation type="list" allowBlank="1" showInputMessage="1" showErrorMessage="1" xr:uid="{A9F25A99-335E-4A18-B2F7-0A85F472747F}">
          <x14:formula1>
            <xm:f>DATOS!$B$3:$B$17</xm:f>
          </x14:formula1>
          <xm:sqref>C2:C176</xm:sqref>
        </x14:dataValidation>
        <x14:dataValidation type="list" allowBlank="1" showInputMessage="1" showErrorMessage="1" xr:uid="{01BF83E9-EE16-44DC-B427-DFF9CAF9DF3C}">
          <x14:formula1>
            <xm:f>DATOS!$J$3:$J$11</xm:f>
          </x14:formula1>
          <xm:sqref>J2:J86 J88:J118 J120:J176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F12E-EEC5-486E-8835-2E1715AB0452}">
  <dimension ref="A1:AR34"/>
  <sheetViews>
    <sheetView showWhiteSpace="0" zoomScale="89" zoomScaleNormal="89" zoomScaleSheetLayoutView="80" zoomScalePageLayoutView="93" workbookViewId="0">
      <pane ySplit="1" topLeftCell="A2" activePane="bottomLeft" state="frozen"/>
      <selection pane="bottomLeft" activeCell="G4" sqref="G4"/>
    </sheetView>
  </sheetViews>
  <sheetFormatPr baseColWidth="10" defaultColWidth="11.44140625" defaultRowHeight="23.25" customHeight="1" x14ac:dyDescent="0.3"/>
  <cols>
    <col min="1" max="1" width="15.21875" style="93" customWidth="1"/>
    <col min="2" max="2" width="16.88671875" style="88" customWidth="1"/>
    <col min="3" max="3" width="11.44140625" style="88" customWidth="1"/>
    <col min="4" max="4" width="29.109375" style="88" customWidth="1"/>
    <col min="5" max="5" width="9.109375" style="70" customWidth="1"/>
    <col min="6" max="6" width="26.33203125" style="88" customWidth="1"/>
    <col min="7" max="7" width="21.33203125" style="70" customWidth="1"/>
    <col min="8" max="8" width="10" style="88" customWidth="1"/>
    <col min="9" max="9" width="29.109375" style="88" customWidth="1"/>
    <col min="10" max="10" width="12.88671875" style="88" customWidth="1"/>
    <col min="11" max="11" width="11.88671875" style="94" customWidth="1"/>
    <col min="12" max="12" width="12.88671875" style="95" customWidth="1"/>
    <col min="13" max="13" width="10.33203125" style="70" customWidth="1"/>
    <col min="14" max="14" width="16.33203125" style="95" customWidth="1"/>
    <col min="15" max="15" width="19.77734375" style="95" customWidth="1"/>
    <col min="16" max="16" width="16.33203125" style="95" customWidth="1"/>
    <col min="17" max="17" width="45.33203125" style="95" customWidth="1"/>
    <col min="18" max="18" width="16" style="70" customWidth="1"/>
    <col min="19" max="19" width="14.6640625" style="70" customWidth="1"/>
    <col min="20" max="21" width="14.44140625" style="70" customWidth="1"/>
    <col min="22" max="25" width="4" style="70" customWidth="1"/>
    <col min="26" max="27" width="23.33203125" style="70" customWidth="1"/>
    <col min="28" max="28" width="17.109375" style="96" customWidth="1"/>
    <col min="29" max="29" width="26.109375" style="88" customWidth="1"/>
    <col min="30" max="30" width="15.109375" style="93" customWidth="1"/>
    <col min="31" max="31" width="16.109375" style="93" customWidth="1"/>
    <col min="32" max="32" width="13.33203125" style="93" customWidth="1"/>
    <col min="33" max="33" width="16" style="93" customWidth="1"/>
    <col min="34" max="34" width="11.44140625" style="96" customWidth="1"/>
    <col min="35" max="35" width="11.44140625" style="93" customWidth="1"/>
    <col min="36" max="36" width="16.33203125" style="93" customWidth="1"/>
    <col min="37" max="37" width="18.33203125" style="93" customWidth="1"/>
    <col min="38" max="39" width="11.44140625" style="93" customWidth="1"/>
    <col min="40" max="40" width="11.44140625" style="96" customWidth="1"/>
    <col min="41" max="41" width="19.44140625" style="93" customWidth="1"/>
    <col min="42" max="42" width="15.33203125" style="70" customWidth="1"/>
    <col min="43" max="43" width="11.44140625" style="70" customWidth="1"/>
    <col min="44" max="44" width="28.33203125" style="88" customWidth="1"/>
    <col min="45" max="47" width="11.44140625" style="70" customWidth="1"/>
    <col min="48" max="16384" width="11.44140625" style="70"/>
  </cols>
  <sheetData>
    <row r="1" spans="1:44" s="216" customFormat="1" ht="44.4" customHeight="1" x14ac:dyDescent="0.3">
      <c r="A1" s="217" t="s">
        <v>823</v>
      </c>
      <c r="B1" s="217" t="s">
        <v>41</v>
      </c>
      <c r="C1" s="217" t="s">
        <v>42</v>
      </c>
      <c r="D1" s="206" t="s">
        <v>193</v>
      </c>
      <c r="E1" s="206" t="s">
        <v>191</v>
      </c>
      <c r="F1" s="206" t="s">
        <v>43</v>
      </c>
      <c r="G1" s="206" t="s">
        <v>95</v>
      </c>
      <c r="H1" s="206" t="s">
        <v>44</v>
      </c>
      <c r="I1" s="206" t="s">
        <v>192</v>
      </c>
      <c r="J1" s="207" t="s">
        <v>45</v>
      </c>
      <c r="K1" s="208" t="s">
        <v>46</v>
      </c>
      <c r="L1" s="209" t="s">
        <v>47</v>
      </c>
      <c r="M1" s="207" t="s">
        <v>48</v>
      </c>
      <c r="N1" s="210" t="s">
        <v>11</v>
      </c>
      <c r="O1" s="210" t="s">
        <v>801</v>
      </c>
      <c r="P1" s="210" t="s">
        <v>802</v>
      </c>
      <c r="Q1" s="210" t="s">
        <v>803</v>
      </c>
      <c r="R1" s="211" t="s">
        <v>105</v>
      </c>
      <c r="S1" s="211" t="s">
        <v>49</v>
      </c>
      <c r="T1" s="211" t="s">
        <v>50</v>
      </c>
      <c r="U1" s="211" t="s">
        <v>51</v>
      </c>
      <c r="V1" s="212" t="s">
        <v>52</v>
      </c>
      <c r="W1" s="212" t="s">
        <v>53</v>
      </c>
      <c r="X1" s="212" t="s">
        <v>54</v>
      </c>
      <c r="Y1" s="212" t="s">
        <v>55</v>
      </c>
      <c r="Z1" s="213" t="s">
        <v>194</v>
      </c>
      <c r="AA1" s="213" t="s">
        <v>218</v>
      </c>
      <c r="AB1" s="214" t="s">
        <v>56</v>
      </c>
      <c r="AC1" s="214" t="s">
        <v>57</v>
      </c>
      <c r="AD1" s="214" t="s">
        <v>58</v>
      </c>
      <c r="AE1" s="214" t="s">
        <v>59</v>
      </c>
      <c r="AF1" s="214" t="s">
        <v>60</v>
      </c>
      <c r="AG1" s="214" t="s">
        <v>61</v>
      </c>
      <c r="AH1" s="214" t="s">
        <v>45</v>
      </c>
      <c r="AI1" s="214" t="s">
        <v>4</v>
      </c>
      <c r="AJ1" s="215" t="s">
        <v>11</v>
      </c>
      <c r="AK1" s="215" t="s">
        <v>12</v>
      </c>
      <c r="AL1" s="215" t="s">
        <v>13</v>
      </c>
      <c r="AM1" s="215" t="s">
        <v>14</v>
      </c>
      <c r="AN1" s="214" t="s">
        <v>62</v>
      </c>
      <c r="AO1" s="214" t="s">
        <v>63</v>
      </c>
      <c r="AP1" s="214" t="s">
        <v>15</v>
      </c>
      <c r="AQ1" s="214" t="s">
        <v>64</v>
      </c>
      <c r="AR1" s="214" t="s">
        <v>65</v>
      </c>
    </row>
    <row r="2" spans="1:44" s="80" customFormat="1" ht="41.4" x14ac:dyDescent="0.3">
      <c r="A2" s="83" t="s">
        <v>324</v>
      </c>
      <c r="B2" s="72" t="s">
        <v>163</v>
      </c>
      <c r="C2" s="72" t="s">
        <v>205</v>
      </c>
      <c r="D2" s="89" t="s">
        <v>170</v>
      </c>
      <c r="E2" s="168" t="s">
        <v>324</v>
      </c>
      <c r="F2" s="89" t="s">
        <v>170</v>
      </c>
      <c r="G2" s="90" t="s">
        <v>822</v>
      </c>
      <c r="H2" s="166" t="s">
        <v>324</v>
      </c>
      <c r="I2" s="72" t="s">
        <v>325</v>
      </c>
      <c r="J2" s="166" t="s">
        <v>324</v>
      </c>
      <c r="K2" s="71">
        <v>12</v>
      </c>
      <c r="L2" s="74">
        <f>N2/K2</f>
        <v>54166666.666666664</v>
      </c>
      <c r="M2" s="71"/>
      <c r="N2" s="84">
        <v>650000000</v>
      </c>
      <c r="O2" s="84"/>
      <c r="P2" s="84"/>
      <c r="Q2" s="84"/>
      <c r="R2" s="76">
        <v>650000000</v>
      </c>
      <c r="S2" s="76"/>
      <c r="T2" s="76"/>
      <c r="U2" s="76"/>
      <c r="V2" s="77"/>
      <c r="W2" s="77"/>
      <c r="X2" s="77"/>
      <c r="Y2" s="77"/>
      <c r="Z2" s="72" t="s">
        <v>324</v>
      </c>
      <c r="AA2" s="71"/>
      <c r="AB2" s="89" t="s">
        <v>324</v>
      </c>
      <c r="AC2" s="89" t="s">
        <v>324</v>
      </c>
      <c r="AD2" s="89" t="s">
        <v>324</v>
      </c>
      <c r="AE2" s="89" t="s">
        <v>324</v>
      </c>
      <c r="AF2" s="89" t="s">
        <v>324</v>
      </c>
      <c r="AG2" s="89" t="s">
        <v>324</v>
      </c>
      <c r="AH2" s="166" t="s">
        <v>324</v>
      </c>
      <c r="AI2" s="166" t="s">
        <v>324</v>
      </c>
      <c r="AJ2" s="166" t="s">
        <v>324</v>
      </c>
      <c r="AK2" s="166" t="s">
        <v>324</v>
      </c>
      <c r="AL2" s="166" t="s">
        <v>324</v>
      </c>
      <c r="AM2" s="166" t="s">
        <v>324</v>
      </c>
      <c r="AN2" s="166" t="s">
        <v>324</v>
      </c>
      <c r="AO2" s="166" t="s">
        <v>324</v>
      </c>
      <c r="AP2" s="166" t="s">
        <v>324</v>
      </c>
      <c r="AQ2" s="166" t="s">
        <v>324</v>
      </c>
      <c r="AR2" s="166" t="s">
        <v>324</v>
      </c>
    </row>
    <row r="3" spans="1:44" s="80" customFormat="1" ht="41.4" x14ac:dyDescent="0.3">
      <c r="A3" s="83" t="s">
        <v>326</v>
      </c>
      <c r="B3" s="72" t="s">
        <v>163</v>
      </c>
      <c r="C3" s="72" t="s">
        <v>168</v>
      </c>
      <c r="D3" s="89" t="s">
        <v>170</v>
      </c>
      <c r="E3" s="168" t="s">
        <v>324</v>
      </c>
      <c r="F3" s="89" t="s">
        <v>170</v>
      </c>
      <c r="G3" s="90" t="s">
        <v>822</v>
      </c>
      <c r="H3" s="166" t="s">
        <v>324</v>
      </c>
      <c r="I3" s="72" t="s">
        <v>327</v>
      </c>
      <c r="J3" s="166" t="s">
        <v>324</v>
      </c>
      <c r="K3" s="71" t="s">
        <v>324</v>
      </c>
      <c r="L3" s="74" t="s">
        <v>324</v>
      </c>
      <c r="M3" s="71"/>
      <c r="N3" s="84">
        <v>20000000</v>
      </c>
      <c r="O3" s="84"/>
      <c r="P3" s="84"/>
      <c r="Q3" s="84"/>
      <c r="R3" s="76">
        <v>20000000</v>
      </c>
      <c r="S3" s="76"/>
      <c r="T3" s="76"/>
      <c r="U3" s="76"/>
      <c r="V3" s="77"/>
      <c r="W3" s="77"/>
      <c r="X3" s="77"/>
      <c r="Y3" s="77"/>
      <c r="Z3" s="72" t="s">
        <v>324</v>
      </c>
      <c r="AA3" s="71"/>
      <c r="AB3" s="89" t="s">
        <v>324</v>
      </c>
      <c r="AC3" s="89" t="s">
        <v>324</v>
      </c>
      <c r="AD3" s="89" t="s">
        <v>324</v>
      </c>
      <c r="AE3" s="89" t="s">
        <v>324</v>
      </c>
      <c r="AF3" s="89" t="s">
        <v>324</v>
      </c>
      <c r="AG3" s="89" t="s">
        <v>324</v>
      </c>
      <c r="AH3" s="166" t="s">
        <v>324</v>
      </c>
      <c r="AI3" s="166" t="s">
        <v>324</v>
      </c>
      <c r="AJ3" s="166" t="s">
        <v>324</v>
      </c>
      <c r="AK3" s="166" t="s">
        <v>324</v>
      </c>
      <c r="AL3" s="166" t="s">
        <v>324</v>
      </c>
      <c r="AM3" s="166" t="s">
        <v>324</v>
      </c>
      <c r="AN3" s="166" t="s">
        <v>324</v>
      </c>
      <c r="AO3" s="166" t="s">
        <v>324</v>
      </c>
      <c r="AP3" s="166" t="s">
        <v>324</v>
      </c>
      <c r="AQ3" s="166" t="s">
        <v>324</v>
      </c>
      <c r="AR3" s="166" t="s">
        <v>324</v>
      </c>
    </row>
    <row r="4" spans="1:44" s="80" customFormat="1" ht="27.6" x14ac:dyDescent="0.3">
      <c r="A4" s="83" t="s">
        <v>324</v>
      </c>
      <c r="B4" s="72" t="s">
        <v>163</v>
      </c>
      <c r="C4" s="72" t="s">
        <v>163</v>
      </c>
      <c r="D4" s="89" t="s">
        <v>170</v>
      </c>
      <c r="E4" s="168" t="s">
        <v>324</v>
      </c>
      <c r="F4" s="89" t="s">
        <v>170</v>
      </c>
      <c r="G4" s="90" t="s">
        <v>822</v>
      </c>
      <c r="H4" s="166" t="s">
        <v>324</v>
      </c>
      <c r="I4" s="72" t="s">
        <v>328</v>
      </c>
      <c r="J4" s="166" t="s">
        <v>324</v>
      </c>
      <c r="K4" s="71">
        <v>12</v>
      </c>
      <c r="L4" s="74">
        <f t="shared" ref="L4:L8" si="0">N4/K4</f>
        <v>1000000</v>
      </c>
      <c r="M4" s="71"/>
      <c r="N4" s="84">
        <v>12000000</v>
      </c>
      <c r="O4" s="84"/>
      <c r="P4" s="84"/>
      <c r="Q4" s="84"/>
      <c r="R4" s="76">
        <v>12000000</v>
      </c>
      <c r="S4" s="76"/>
      <c r="T4" s="76"/>
      <c r="U4" s="76"/>
      <c r="V4" s="77"/>
      <c r="W4" s="77"/>
      <c r="X4" s="77"/>
      <c r="Y4" s="77"/>
      <c r="Z4" s="72" t="s">
        <v>324</v>
      </c>
      <c r="AA4" s="71"/>
      <c r="AB4" s="89" t="s">
        <v>324</v>
      </c>
      <c r="AC4" s="89" t="s">
        <v>324</v>
      </c>
      <c r="AD4" s="89" t="s">
        <v>324</v>
      </c>
      <c r="AE4" s="89" t="s">
        <v>324</v>
      </c>
      <c r="AF4" s="89" t="s">
        <v>324</v>
      </c>
      <c r="AG4" s="89" t="s">
        <v>324</v>
      </c>
      <c r="AH4" s="166" t="s">
        <v>324</v>
      </c>
      <c r="AI4" s="166" t="s">
        <v>324</v>
      </c>
      <c r="AJ4" s="166" t="s">
        <v>324</v>
      </c>
      <c r="AK4" s="166" t="s">
        <v>324</v>
      </c>
      <c r="AL4" s="166" t="s">
        <v>324</v>
      </c>
      <c r="AM4" s="166" t="s">
        <v>324</v>
      </c>
      <c r="AN4" s="166" t="s">
        <v>324</v>
      </c>
      <c r="AO4" s="166" t="s">
        <v>324</v>
      </c>
      <c r="AP4" s="166" t="s">
        <v>324</v>
      </c>
      <c r="AQ4" s="166" t="s">
        <v>324</v>
      </c>
      <c r="AR4" s="166" t="s">
        <v>324</v>
      </c>
    </row>
    <row r="5" spans="1:44" s="80" customFormat="1" ht="41.4" x14ac:dyDescent="0.3">
      <c r="A5" s="83" t="s">
        <v>324</v>
      </c>
      <c r="B5" s="72" t="s">
        <v>163</v>
      </c>
      <c r="C5" s="72" t="s">
        <v>205</v>
      </c>
      <c r="D5" s="89" t="s">
        <v>170</v>
      </c>
      <c r="E5" s="168" t="s">
        <v>324</v>
      </c>
      <c r="F5" s="89" t="s">
        <v>170</v>
      </c>
      <c r="G5" s="90" t="s">
        <v>822</v>
      </c>
      <c r="H5" s="166" t="s">
        <v>324</v>
      </c>
      <c r="I5" s="72" t="s">
        <v>329</v>
      </c>
      <c r="J5" s="166" t="s">
        <v>324</v>
      </c>
      <c r="K5" s="71">
        <v>12</v>
      </c>
      <c r="L5" s="74">
        <f t="shared" si="0"/>
        <v>3235028.3333333335</v>
      </c>
      <c r="M5" s="71"/>
      <c r="N5" s="84">
        <v>38820340</v>
      </c>
      <c r="O5" s="84"/>
      <c r="P5" s="84"/>
      <c r="Q5" s="84"/>
      <c r="R5" s="76">
        <v>38820340</v>
      </c>
      <c r="S5" s="76"/>
      <c r="T5" s="76"/>
      <c r="U5" s="76"/>
      <c r="V5" s="77"/>
      <c r="W5" s="77"/>
      <c r="X5" s="77"/>
      <c r="Y5" s="77"/>
      <c r="Z5" s="72" t="s">
        <v>324</v>
      </c>
      <c r="AA5" s="71"/>
      <c r="AB5" s="89" t="s">
        <v>324</v>
      </c>
      <c r="AC5" s="89" t="s">
        <v>324</v>
      </c>
      <c r="AD5" s="89" t="s">
        <v>324</v>
      </c>
      <c r="AE5" s="89" t="s">
        <v>324</v>
      </c>
      <c r="AF5" s="89" t="s">
        <v>324</v>
      </c>
      <c r="AG5" s="89" t="s">
        <v>324</v>
      </c>
      <c r="AH5" s="166" t="s">
        <v>324</v>
      </c>
      <c r="AI5" s="166" t="s">
        <v>324</v>
      </c>
      <c r="AJ5" s="166" t="s">
        <v>324</v>
      </c>
      <c r="AK5" s="166" t="s">
        <v>324</v>
      </c>
      <c r="AL5" s="166" t="s">
        <v>324</v>
      </c>
      <c r="AM5" s="166" t="s">
        <v>324</v>
      </c>
      <c r="AN5" s="166" t="s">
        <v>324</v>
      </c>
      <c r="AO5" s="166" t="s">
        <v>324</v>
      </c>
      <c r="AP5" s="166" t="s">
        <v>324</v>
      </c>
      <c r="AQ5" s="166" t="s">
        <v>324</v>
      </c>
      <c r="AR5" s="166" t="s">
        <v>324</v>
      </c>
    </row>
    <row r="6" spans="1:44" s="80" customFormat="1" ht="41.4" x14ac:dyDescent="0.3">
      <c r="A6" s="83" t="s">
        <v>324</v>
      </c>
      <c r="B6" s="72" t="s">
        <v>163</v>
      </c>
      <c r="C6" s="72" t="s">
        <v>174</v>
      </c>
      <c r="D6" s="89" t="s">
        <v>170</v>
      </c>
      <c r="E6" s="168" t="s">
        <v>324</v>
      </c>
      <c r="F6" s="89" t="s">
        <v>170</v>
      </c>
      <c r="G6" s="90" t="s">
        <v>822</v>
      </c>
      <c r="H6" s="166" t="s">
        <v>324</v>
      </c>
      <c r="I6" s="72" t="s">
        <v>330</v>
      </c>
      <c r="J6" s="89" t="s">
        <v>324</v>
      </c>
      <c r="K6" s="81">
        <v>12</v>
      </c>
      <c r="L6" s="74">
        <f t="shared" si="0"/>
        <v>1000000</v>
      </c>
      <c r="M6" s="81"/>
      <c r="N6" s="75">
        <v>12000000</v>
      </c>
      <c r="O6" s="75"/>
      <c r="P6" s="75"/>
      <c r="Q6" s="75"/>
      <c r="R6" s="76">
        <v>12000000</v>
      </c>
      <c r="S6" s="85"/>
      <c r="T6" s="85"/>
      <c r="U6" s="76"/>
      <c r="V6" s="77"/>
      <c r="W6" s="77"/>
      <c r="X6" s="77"/>
      <c r="Y6" s="77"/>
      <c r="Z6" s="72" t="s">
        <v>324</v>
      </c>
      <c r="AA6" s="71"/>
      <c r="AB6" s="89" t="s">
        <v>324</v>
      </c>
      <c r="AC6" s="89" t="s">
        <v>324</v>
      </c>
      <c r="AD6" s="89" t="s">
        <v>324</v>
      </c>
      <c r="AE6" s="89" t="s">
        <v>324</v>
      </c>
      <c r="AF6" s="89" t="s">
        <v>324</v>
      </c>
      <c r="AG6" s="89" t="s">
        <v>324</v>
      </c>
      <c r="AH6" s="89" t="s">
        <v>324</v>
      </c>
      <c r="AI6" s="166" t="s">
        <v>324</v>
      </c>
      <c r="AJ6" s="166" t="s">
        <v>324</v>
      </c>
      <c r="AK6" s="166" t="s">
        <v>324</v>
      </c>
      <c r="AL6" s="166" t="s">
        <v>324</v>
      </c>
      <c r="AM6" s="166" t="s">
        <v>324</v>
      </c>
      <c r="AN6" s="166" t="s">
        <v>324</v>
      </c>
      <c r="AO6" s="166" t="s">
        <v>324</v>
      </c>
      <c r="AP6" s="166" t="s">
        <v>324</v>
      </c>
      <c r="AQ6" s="166" t="s">
        <v>324</v>
      </c>
      <c r="AR6" s="166" t="s">
        <v>324</v>
      </c>
    </row>
    <row r="7" spans="1:44" s="80" customFormat="1" ht="41.4" x14ac:dyDescent="0.3">
      <c r="A7" s="83" t="s">
        <v>324</v>
      </c>
      <c r="B7" s="72" t="s">
        <v>163</v>
      </c>
      <c r="C7" s="72" t="s">
        <v>205</v>
      </c>
      <c r="D7" s="89" t="s">
        <v>170</v>
      </c>
      <c r="E7" s="168" t="s">
        <v>324</v>
      </c>
      <c r="F7" s="89" t="s">
        <v>170</v>
      </c>
      <c r="G7" s="90" t="s">
        <v>822</v>
      </c>
      <c r="H7" s="166" t="s">
        <v>324</v>
      </c>
      <c r="I7" s="72" t="s">
        <v>331</v>
      </c>
      <c r="J7" s="171" t="s">
        <v>324</v>
      </c>
      <c r="K7" s="71">
        <v>12</v>
      </c>
      <c r="L7" s="74">
        <f t="shared" si="0"/>
        <v>3291666.6666666665</v>
      </c>
      <c r="M7" s="71"/>
      <c r="N7" s="75">
        <v>39500000</v>
      </c>
      <c r="O7" s="75"/>
      <c r="P7" s="75"/>
      <c r="Q7" s="75"/>
      <c r="R7" s="76">
        <v>39500000</v>
      </c>
      <c r="S7" s="76"/>
      <c r="T7" s="76"/>
      <c r="U7" s="76"/>
      <c r="V7" s="77"/>
      <c r="W7" s="77"/>
      <c r="X7" s="77"/>
      <c r="Y7" s="77"/>
      <c r="Z7" s="72" t="s">
        <v>324</v>
      </c>
      <c r="AA7" s="71"/>
      <c r="AB7" s="89" t="s">
        <v>324</v>
      </c>
      <c r="AC7" s="89" t="s">
        <v>324</v>
      </c>
      <c r="AD7" s="89" t="s">
        <v>324</v>
      </c>
      <c r="AE7" s="89" t="s">
        <v>324</v>
      </c>
      <c r="AF7" s="89" t="s">
        <v>324</v>
      </c>
      <c r="AG7" s="89" t="s">
        <v>324</v>
      </c>
      <c r="AH7" s="171" t="s">
        <v>324</v>
      </c>
      <c r="AI7" s="166" t="s">
        <v>324</v>
      </c>
      <c r="AJ7" s="166" t="s">
        <v>324</v>
      </c>
      <c r="AK7" s="166" t="s">
        <v>324</v>
      </c>
      <c r="AL7" s="166" t="s">
        <v>324</v>
      </c>
      <c r="AM7" s="166" t="s">
        <v>324</v>
      </c>
      <c r="AN7" s="166" t="s">
        <v>324</v>
      </c>
      <c r="AO7" s="166" t="s">
        <v>324</v>
      </c>
      <c r="AP7" s="166" t="s">
        <v>324</v>
      </c>
      <c r="AQ7" s="166" t="s">
        <v>324</v>
      </c>
      <c r="AR7" s="166" t="s">
        <v>324</v>
      </c>
    </row>
    <row r="8" spans="1:44" s="80" customFormat="1" ht="55.2" x14ac:dyDescent="0.3">
      <c r="A8" s="83" t="s">
        <v>324</v>
      </c>
      <c r="B8" s="72" t="s">
        <v>163</v>
      </c>
      <c r="C8" s="72" t="s">
        <v>206</v>
      </c>
      <c r="D8" s="89" t="s">
        <v>170</v>
      </c>
      <c r="E8" s="168" t="s">
        <v>324</v>
      </c>
      <c r="F8" s="89" t="s">
        <v>170</v>
      </c>
      <c r="G8" s="90" t="s">
        <v>332</v>
      </c>
      <c r="H8" s="166" t="s">
        <v>324</v>
      </c>
      <c r="I8" s="72" t="s">
        <v>333</v>
      </c>
      <c r="J8" s="89" t="s">
        <v>324</v>
      </c>
      <c r="K8" s="71">
        <v>12</v>
      </c>
      <c r="L8" s="74">
        <f t="shared" si="0"/>
        <v>5000000</v>
      </c>
      <c r="M8" s="71"/>
      <c r="N8" s="84">
        <v>60000000</v>
      </c>
      <c r="O8" s="84"/>
      <c r="P8" s="84"/>
      <c r="Q8" s="84"/>
      <c r="R8" s="76">
        <v>60000000</v>
      </c>
      <c r="S8" s="76"/>
      <c r="T8" s="76"/>
      <c r="U8" s="76"/>
      <c r="V8" s="77"/>
      <c r="W8" s="77"/>
      <c r="X8" s="77"/>
      <c r="Y8" s="77"/>
      <c r="Z8" s="72" t="s">
        <v>324</v>
      </c>
      <c r="AA8" s="71"/>
      <c r="AB8" s="89" t="s">
        <v>324</v>
      </c>
      <c r="AC8" s="89" t="s">
        <v>324</v>
      </c>
      <c r="AD8" s="89" t="s">
        <v>324</v>
      </c>
      <c r="AE8" s="89" t="s">
        <v>324</v>
      </c>
      <c r="AF8" s="89" t="s">
        <v>324</v>
      </c>
      <c r="AG8" s="89" t="s">
        <v>324</v>
      </c>
      <c r="AH8" s="89" t="s">
        <v>324</v>
      </c>
      <c r="AI8" s="166" t="s">
        <v>324</v>
      </c>
      <c r="AJ8" s="166" t="s">
        <v>324</v>
      </c>
      <c r="AK8" s="166" t="s">
        <v>324</v>
      </c>
      <c r="AL8" s="166" t="s">
        <v>324</v>
      </c>
      <c r="AM8" s="166" t="s">
        <v>324</v>
      </c>
      <c r="AN8" s="166" t="s">
        <v>324</v>
      </c>
      <c r="AO8" s="166" t="s">
        <v>324</v>
      </c>
      <c r="AP8" s="166" t="s">
        <v>324</v>
      </c>
      <c r="AQ8" s="166" t="s">
        <v>324</v>
      </c>
      <c r="AR8" s="166" t="s">
        <v>324</v>
      </c>
    </row>
    <row r="9" spans="1:44" s="80" customFormat="1" ht="41.4" x14ac:dyDescent="0.3">
      <c r="A9" s="83" t="s">
        <v>324</v>
      </c>
      <c r="B9" s="72" t="s">
        <v>163</v>
      </c>
      <c r="C9" s="72" t="s">
        <v>205</v>
      </c>
      <c r="D9" s="89" t="s">
        <v>170</v>
      </c>
      <c r="E9" s="168" t="s">
        <v>324</v>
      </c>
      <c r="F9" s="89" t="s">
        <v>170</v>
      </c>
      <c r="G9" s="90" t="s">
        <v>822</v>
      </c>
      <c r="H9" s="83" t="s">
        <v>324</v>
      </c>
      <c r="I9" s="79" t="s">
        <v>334</v>
      </c>
      <c r="J9" s="89" t="s">
        <v>335</v>
      </c>
      <c r="K9" s="81">
        <v>12</v>
      </c>
      <c r="L9" s="74">
        <f>N9/K9</f>
        <v>200000</v>
      </c>
      <c r="M9" s="71"/>
      <c r="N9" s="75">
        <v>2400000</v>
      </c>
      <c r="O9" s="75"/>
      <c r="P9" s="75"/>
      <c r="Q9" s="75"/>
      <c r="R9" s="76">
        <v>2400000</v>
      </c>
      <c r="S9" s="76"/>
      <c r="T9" s="76"/>
      <c r="U9" s="76"/>
      <c r="V9" s="77"/>
      <c r="W9" s="77"/>
      <c r="X9" s="77"/>
      <c r="Y9" s="77"/>
      <c r="Z9" s="72" t="s">
        <v>324</v>
      </c>
      <c r="AA9" s="71"/>
      <c r="AB9" s="89" t="s">
        <v>324</v>
      </c>
      <c r="AC9" s="72" t="s">
        <v>324</v>
      </c>
      <c r="AD9" s="71" t="s">
        <v>324</v>
      </c>
      <c r="AE9" s="71" t="s">
        <v>324</v>
      </c>
      <c r="AF9" s="71" t="s">
        <v>324</v>
      </c>
      <c r="AG9" s="71" t="s">
        <v>324</v>
      </c>
      <c r="AH9" s="89" t="s">
        <v>324</v>
      </c>
      <c r="AI9" s="166" t="s">
        <v>324</v>
      </c>
      <c r="AJ9" s="166" t="s">
        <v>324</v>
      </c>
      <c r="AK9" s="166" t="s">
        <v>324</v>
      </c>
      <c r="AL9" s="166" t="s">
        <v>324</v>
      </c>
      <c r="AM9" s="166" t="s">
        <v>324</v>
      </c>
      <c r="AN9" s="166" t="s">
        <v>324</v>
      </c>
      <c r="AO9" s="166" t="s">
        <v>324</v>
      </c>
      <c r="AP9" s="166" t="s">
        <v>324</v>
      </c>
      <c r="AQ9" s="166" t="s">
        <v>324</v>
      </c>
      <c r="AR9" s="166" t="s">
        <v>324</v>
      </c>
    </row>
    <row r="10" spans="1:44" s="80" customFormat="1" ht="110.4" x14ac:dyDescent="0.3">
      <c r="A10" s="83" t="s">
        <v>336</v>
      </c>
      <c r="B10" s="72" t="s">
        <v>163</v>
      </c>
      <c r="C10" s="72" t="s">
        <v>165</v>
      </c>
      <c r="D10" s="89" t="s">
        <v>170</v>
      </c>
      <c r="E10" s="168" t="s">
        <v>324</v>
      </c>
      <c r="F10" s="89" t="s">
        <v>170</v>
      </c>
      <c r="G10" s="89" t="s">
        <v>337</v>
      </c>
      <c r="H10" s="166" t="s">
        <v>324</v>
      </c>
      <c r="I10" s="79" t="s">
        <v>338</v>
      </c>
      <c r="J10" s="89" t="s">
        <v>167</v>
      </c>
      <c r="K10" s="71">
        <v>12</v>
      </c>
      <c r="L10" s="74">
        <f t="shared" ref="L10:L29" si="1">N10/K10</f>
        <v>166666.66666666666</v>
      </c>
      <c r="M10" s="71"/>
      <c r="N10" s="75">
        <v>2000000</v>
      </c>
      <c r="O10" s="75"/>
      <c r="P10" s="75"/>
      <c r="Q10" s="75"/>
      <c r="R10" s="76">
        <v>2000000</v>
      </c>
      <c r="S10" s="76"/>
      <c r="T10" s="76"/>
      <c r="U10" s="76"/>
      <c r="V10" s="150"/>
      <c r="W10" s="150"/>
      <c r="X10" s="150"/>
      <c r="Y10" s="150"/>
      <c r="Z10" s="72" t="s">
        <v>339</v>
      </c>
      <c r="AA10" s="71"/>
      <c r="AB10" s="166" t="s">
        <v>340</v>
      </c>
      <c r="AC10" s="89" t="s">
        <v>338</v>
      </c>
      <c r="AD10" s="168" t="s">
        <v>278</v>
      </c>
      <c r="AE10" s="168" t="s">
        <v>278</v>
      </c>
      <c r="AF10" s="168">
        <v>11</v>
      </c>
      <c r="AG10" s="168" t="s">
        <v>271</v>
      </c>
      <c r="AH10" s="89" t="s">
        <v>167</v>
      </c>
      <c r="AI10" s="72" t="s">
        <v>105</v>
      </c>
      <c r="AJ10" s="167">
        <v>2000000</v>
      </c>
      <c r="AK10" s="167">
        <v>2000000</v>
      </c>
      <c r="AL10" s="168" t="s">
        <v>272</v>
      </c>
      <c r="AM10" s="168" t="s">
        <v>273</v>
      </c>
      <c r="AN10" s="89" t="s">
        <v>274</v>
      </c>
      <c r="AO10" s="168" t="s">
        <v>275</v>
      </c>
      <c r="AP10" s="89" t="s">
        <v>341</v>
      </c>
      <c r="AQ10" s="79">
        <v>3282888</v>
      </c>
      <c r="AR10" s="170" t="s">
        <v>342</v>
      </c>
    </row>
    <row r="11" spans="1:44" s="80" customFormat="1" ht="69" x14ac:dyDescent="0.3">
      <c r="A11" s="83" t="s">
        <v>343</v>
      </c>
      <c r="B11" s="72" t="s">
        <v>163</v>
      </c>
      <c r="C11" s="72" t="s">
        <v>205</v>
      </c>
      <c r="D11" s="89" t="s">
        <v>170</v>
      </c>
      <c r="E11" s="168" t="s">
        <v>324</v>
      </c>
      <c r="F11" s="89" t="s">
        <v>170</v>
      </c>
      <c r="G11" s="90" t="s">
        <v>344</v>
      </c>
      <c r="H11" s="166" t="s">
        <v>324</v>
      </c>
      <c r="I11" s="79" t="s">
        <v>345</v>
      </c>
      <c r="J11" s="89" t="s">
        <v>346</v>
      </c>
      <c r="K11" s="71">
        <v>12</v>
      </c>
      <c r="L11" s="74">
        <f t="shared" si="1"/>
        <v>1666666.6666666667</v>
      </c>
      <c r="M11" s="71"/>
      <c r="N11" s="75">
        <v>20000000</v>
      </c>
      <c r="O11" s="75"/>
      <c r="P11" s="75"/>
      <c r="Q11" s="75"/>
      <c r="R11" s="76">
        <v>20000000</v>
      </c>
      <c r="S11" s="76"/>
      <c r="T11" s="76"/>
      <c r="U11" s="76"/>
      <c r="V11" s="77"/>
      <c r="W11" s="77"/>
      <c r="X11" s="77"/>
      <c r="Y11" s="77"/>
      <c r="Z11" s="72" t="s">
        <v>347</v>
      </c>
      <c r="AA11" s="72" t="s">
        <v>348</v>
      </c>
      <c r="AB11" s="91" t="s">
        <v>349</v>
      </c>
      <c r="AC11" s="72" t="s">
        <v>347</v>
      </c>
      <c r="AD11" s="71" t="s">
        <v>324</v>
      </c>
      <c r="AE11" s="71" t="s">
        <v>324</v>
      </c>
      <c r="AF11" s="71">
        <v>12</v>
      </c>
      <c r="AG11" s="71" t="s">
        <v>271</v>
      </c>
      <c r="AH11" s="89" t="s">
        <v>169</v>
      </c>
      <c r="AI11" s="72" t="s">
        <v>105</v>
      </c>
      <c r="AJ11" s="172">
        <v>48399016</v>
      </c>
      <c r="AK11" s="172">
        <v>16500000</v>
      </c>
      <c r="AL11" s="71" t="s">
        <v>350</v>
      </c>
      <c r="AM11" s="71" t="s">
        <v>351</v>
      </c>
      <c r="AN11" s="89" t="s">
        <v>274</v>
      </c>
      <c r="AO11" s="71" t="s">
        <v>275</v>
      </c>
      <c r="AP11" s="72" t="s">
        <v>352</v>
      </c>
      <c r="AQ11" s="79">
        <v>3282888</v>
      </c>
      <c r="AR11" s="169" t="s">
        <v>353</v>
      </c>
    </row>
    <row r="12" spans="1:44" s="80" customFormat="1" ht="207" x14ac:dyDescent="0.3">
      <c r="A12" s="83" t="s">
        <v>343</v>
      </c>
      <c r="B12" s="72" t="s">
        <v>163</v>
      </c>
      <c r="C12" s="72" t="s">
        <v>205</v>
      </c>
      <c r="D12" s="89" t="s">
        <v>170</v>
      </c>
      <c r="E12" s="168" t="s">
        <v>324</v>
      </c>
      <c r="F12" s="89" t="s">
        <v>170</v>
      </c>
      <c r="G12" s="90" t="s">
        <v>822</v>
      </c>
      <c r="H12" s="166" t="s">
        <v>324</v>
      </c>
      <c r="I12" s="79" t="s">
        <v>354</v>
      </c>
      <c r="J12" s="89" t="s">
        <v>346</v>
      </c>
      <c r="K12" s="81">
        <v>12</v>
      </c>
      <c r="L12" s="74">
        <f t="shared" si="1"/>
        <v>43550000</v>
      </c>
      <c r="M12" s="71"/>
      <c r="N12" s="75">
        <v>522600000</v>
      </c>
      <c r="O12" s="75"/>
      <c r="P12" s="75"/>
      <c r="Q12" s="75"/>
      <c r="R12" s="76">
        <v>522600000</v>
      </c>
      <c r="S12" s="76"/>
      <c r="T12" s="76"/>
      <c r="U12" s="76"/>
      <c r="V12" s="77"/>
      <c r="W12" s="77"/>
      <c r="X12" s="77"/>
      <c r="Y12" s="77"/>
      <c r="Z12" s="72" t="s">
        <v>355</v>
      </c>
      <c r="AA12" s="72" t="s">
        <v>356</v>
      </c>
      <c r="AB12" s="91" t="s">
        <v>357</v>
      </c>
      <c r="AC12" s="72" t="s">
        <v>355</v>
      </c>
      <c r="AD12" s="71" t="s">
        <v>324</v>
      </c>
      <c r="AE12" s="71" t="s">
        <v>324</v>
      </c>
      <c r="AF12" s="71">
        <v>12</v>
      </c>
      <c r="AG12" s="71" t="s">
        <v>271</v>
      </c>
      <c r="AH12" s="89" t="s">
        <v>358</v>
      </c>
      <c r="AI12" s="72" t="s">
        <v>105</v>
      </c>
      <c r="AJ12" s="172">
        <v>1884920545</v>
      </c>
      <c r="AK12" s="172">
        <v>513724587</v>
      </c>
      <c r="AL12" s="71" t="s">
        <v>350</v>
      </c>
      <c r="AM12" s="71" t="s">
        <v>351</v>
      </c>
      <c r="AN12" s="89" t="s">
        <v>274</v>
      </c>
      <c r="AO12" s="71" t="s">
        <v>275</v>
      </c>
      <c r="AP12" s="72" t="s">
        <v>352</v>
      </c>
      <c r="AQ12" s="79">
        <v>3282888</v>
      </c>
      <c r="AR12" s="169" t="s">
        <v>353</v>
      </c>
    </row>
    <row r="13" spans="1:44" s="80" customFormat="1" ht="165.6" x14ac:dyDescent="0.3">
      <c r="A13" s="83" t="s">
        <v>343</v>
      </c>
      <c r="B13" s="72" t="s">
        <v>163</v>
      </c>
      <c r="C13" s="72" t="s">
        <v>205</v>
      </c>
      <c r="D13" s="89" t="s">
        <v>170</v>
      </c>
      <c r="E13" s="168" t="s">
        <v>324</v>
      </c>
      <c r="F13" s="89" t="s">
        <v>170</v>
      </c>
      <c r="G13" s="90" t="s">
        <v>359</v>
      </c>
      <c r="H13" s="166" t="s">
        <v>324</v>
      </c>
      <c r="I13" s="79" t="s">
        <v>360</v>
      </c>
      <c r="J13" s="171" t="s">
        <v>346</v>
      </c>
      <c r="K13" s="71">
        <v>12</v>
      </c>
      <c r="L13" s="74">
        <f t="shared" si="1"/>
        <v>90864481.166666672</v>
      </c>
      <c r="M13" s="71"/>
      <c r="N13" s="75">
        <f>+AJ13</f>
        <v>1090373774</v>
      </c>
      <c r="O13" s="75"/>
      <c r="P13" s="75"/>
      <c r="Q13" s="75"/>
      <c r="R13" s="76">
        <f>+AJ13</f>
        <v>1090373774</v>
      </c>
      <c r="S13" s="76"/>
      <c r="T13" s="76"/>
      <c r="U13" s="76"/>
      <c r="V13" s="77"/>
      <c r="W13" s="77"/>
      <c r="X13" s="77"/>
      <c r="Y13" s="77"/>
      <c r="Z13" s="72" t="s">
        <v>361</v>
      </c>
      <c r="AA13" s="72" t="s">
        <v>362</v>
      </c>
      <c r="AB13" s="91" t="s">
        <v>363</v>
      </c>
      <c r="AC13" s="72" t="s">
        <v>361</v>
      </c>
      <c r="AD13" s="71" t="s">
        <v>324</v>
      </c>
      <c r="AE13" s="71" t="s">
        <v>324</v>
      </c>
      <c r="AF13" s="71">
        <v>12</v>
      </c>
      <c r="AG13" s="71" t="s">
        <v>271</v>
      </c>
      <c r="AH13" s="171" t="s">
        <v>364</v>
      </c>
      <c r="AI13" s="72" t="s">
        <v>105</v>
      </c>
      <c r="AJ13" s="172">
        <v>1090373774</v>
      </c>
      <c r="AK13" s="172">
        <v>1090373774</v>
      </c>
      <c r="AL13" s="71" t="s">
        <v>350</v>
      </c>
      <c r="AM13" s="71" t="s">
        <v>351</v>
      </c>
      <c r="AN13" s="89" t="s">
        <v>274</v>
      </c>
      <c r="AO13" s="71" t="s">
        <v>275</v>
      </c>
      <c r="AP13" s="72" t="s">
        <v>352</v>
      </c>
      <c r="AQ13" s="79">
        <v>3282888</v>
      </c>
      <c r="AR13" s="169" t="s">
        <v>353</v>
      </c>
    </row>
    <row r="14" spans="1:44" s="80" customFormat="1" ht="55.2" x14ac:dyDescent="0.3">
      <c r="A14" s="83" t="s">
        <v>365</v>
      </c>
      <c r="B14" s="72" t="s">
        <v>163</v>
      </c>
      <c r="C14" s="72" t="s">
        <v>205</v>
      </c>
      <c r="D14" s="89" t="s">
        <v>170</v>
      </c>
      <c r="E14" s="168" t="s">
        <v>324</v>
      </c>
      <c r="F14" s="89" t="s">
        <v>170</v>
      </c>
      <c r="G14" s="90" t="s">
        <v>822</v>
      </c>
      <c r="H14" s="166" t="s">
        <v>324</v>
      </c>
      <c r="I14" s="79" t="s">
        <v>366</v>
      </c>
      <c r="J14" s="171" t="s">
        <v>367</v>
      </c>
      <c r="K14" s="83">
        <v>12</v>
      </c>
      <c r="L14" s="74">
        <f t="shared" si="1"/>
        <v>71635518.833333328</v>
      </c>
      <c r="M14" s="71"/>
      <c r="N14" s="75">
        <v>859626226</v>
      </c>
      <c r="O14" s="75"/>
      <c r="P14" s="75"/>
      <c r="Q14" s="75"/>
      <c r="R14" s="76">
        <v>859626226</v>
      </c>
      <c r="S14" s="76"/>
      <c r="T14" s="76"/>
      <c r="U14" s="76"/>
      <c r="V14" s="77"/>
      <c r="W14" s="77"/>
      <c r="X14" s="77"/>
      <c r="Y14" s="77"/>
      <c r="Z14" s="72" t="s">
        <v>368</v>
      </c>
      <c r="AA14" s="72" t="s">
        <v>369</v>
      </c>
      <c r="AB14" s="173" t="s">
        <v>370</v>
      </c>
      <c r="AC14" s="72" t="s">
        <v>368</v>
      </c>
      <c r="AD14" s="71" t="s">
        <v>324</v>
      </c>
      <c r="AE14" s="71" t="s">
        <v>324</v>
      </c>
      <c r="AF14" s="71">
        <v>8</v>
      </c>
      <c r="AG14" s="71" t="s">
        <v>271</v>
      </c>
      <c r="AH14" s="171" t="s">
        <v>371</v>
      </c>
      <c r="AI14" s="72" t="s">
        <v>105</v>
      </c>
      <c r="AJ14" s="172">
        <v>516259371</v>
      </c>
      <c r="AK14" s="172">
        <v>516259371</v>
      </c>
      <c r="AL14" s="71" t="s">
        <v>350</v>
      </c>
      <c r="AM14" s="71" t="s">
        <v>351</v>
      </c>
      <c r="AN14" s="89" t="s">
        <v>274</v>
      </c>
      <c r="AO14" s="71" t="s">
        <v>275</v>
      </c>
      <c r="AP14" s="72" t="s">
        <v>352</v>
      </c>
      <c r="AQ14" s="79">
        <v>3282888</v>
      </c>
      <c r="AR14" s="169" t="s">
        <v>353</v>
      </c>
    </row>
    <row r="15" spans="1:44" s="80" customFormat="1" ht="55.2" x14ac:dyDescent="0.3">
      <c r="A15" s="83" t="s">
        <v>372</v>
      </c>
      <c r="B15" s="72" t="s">
        <v>163</v>
      </c>
      <c r="C15" s="72" t="s">
        <v>205</v>
      </c>
      <c r="D15" s="89" t="s">
        <v>170</v>
      </c>
      <c r="E15" s="168" t="s">
        <v>324</v>
      </c>
      <c r="F15" s="89" t="s">
        <v>170</v>
      </c>
      <c r="G15" s="90" t="s">
        <v>822</v>
      </c>
      <c r="H15" s="166" t="s">
        <v>324</v>
      </c>
      <c r="I15" s="79" t="s">
        <v>373</v>
      </c>
      <c r="J15" s="72" t="s">
        <v>374</v>
      </c>
      <c r="K15" s="81">
        <v>11</v>
      </c>
      <c r="L15" s="74">
        <f t="shared" si="1"/>
        <v>204181.81818181818</v>
      </c>
      <c r="M15" s="71"/>
      <c r="N15" s="75">
        <v>2246000</v>
      </c>
      <c r="O15" s="75"/>
      <c r="P15" s="75"/>
      <c r="Q15" s="75"/>
      <c r="R15" s="76">
        <v>2246000</v>
      </c>
      <c r="S15" s="76"/>
      <c r="T15" s="76"/>
      <c r="U15" s="76"/>
      <c r="V15" s="77"/>
      <c r="W15" s="77"/>
      <c r="X15" s="77"/>
      <c r="Y15" s="77"/>
      <c r="Z15" s="72" t="s">
        <v>373</v>
      </c>
      <c r="AA15" s="71"/>
      <c r="AB15" s="89">
        <v>76121900</v>
      </c>
      <c r="AC15" s="72" t="s">
        <v>373</v>
      </c>
      <c r="AD15" s="71" t="s">
        <v>292</v>
      </c>
      <c r="AE15" s="71" t="s">
        <v>292</v>
      </c>
      <c r="AF15" s="71">
        <v>11</v>
      </c>
      <c r="AG15" s="71" t="s">
        <v>271</v>
      </c>
      <c r="AH15" s="89" t="s">
        <v>374</v>
      </c>
      <c r="AI15" s="72" t="s">
        <v>105</v>
      </c>
      <c r="AJ15" s="172">
        <v>2246000</v>
      </c>
      <c r="AK15" s="172">
        <v>0</v>
      </c>
      <c r="AL15" s="71" t="s">
        <v>272</v>
      </c>
      <c r="AM15" s="71" t="s">
        <v>273</v>
      </c>
      <c r="AN15" s="89" t="s">
        <v>274</v>
      </c>
      <c r="AO15" s="71" t="s">
        <v>275</v>
      </c>
      <c r="AP15" s="72" t="s">
        <v>352</v>
      </c>
      <c r="AQ15" s="79">
        <v>3282888</v>
      </c>
      <c r="AR15" s="169" t="s">
        <v>353</v>
      </c>
    </row>
    <row r="16" spans="1:44" s="80" customFormat="1" ht="55.2" x14ac:dyDescent="0.3">
      <c r="A16" s="83" t="s">
        <v>375</v>
      </c>
      <c r="B16" s="72" t="s">
        <v>163</v>
      </c>
      <c r="C16" s="72" t="s">
        <v>205</v>
      </c>
      <c r="D16" s="89" t="s">
        <v>170</v>
      </c>
      <c r="E16" s="168" t="s">
        <v>324</v>
      </c>
      <c r="F16" s="89" t="s">
        <v>170</v>
      </c>
      <c r="G16" s="90" t="s">
        <v>811</v>
      </c>
      <c r="H16" s="166" t="s">
        <v>324</v>
      </c>
      <c r="I16" s="79" t="s">
        <v>376</v>
      </c>
      <c r="J16" s="89" t="s">
        <v>169</v>
      </c>
      <c r="K16" s="81">
        <v>12</v>
      </c>
      <c r="L16" s="74">
        <f t="shared" si="1"/>
        <v>833333.33333333337</v>
      </c>
      <c r="M16" s="71"/>
      <c r="N16" s="75">
        <v>10000000</v>
      </c>
      <c r="O16" s="75">
        <v>4520260</v>
      </c>
      <c r="P16" s="75">
        <f>N16-O16</f>
        <v>5479740</v>
      </c>
      <c r="Q16" s="75" t="s">
        <v>810</v>
      </c>
      <c r="R16" s="76">
        <v>10000000</v>
      </c>
      <c r="S16" s="76"/>
      <c r="T16" s="76"/>
      <c r="U16" s="76"/>
      <c r="V16" s="77"/>
      <c r="W16" s="77"/>
      <c r="X16" s="77"/>
      <c r="Y16" s="77"/>
      <c r="Z16" s="72" t="s">
        <v>377</v>
      </c>
      <c r="AA16" s="71"/>
      <c r="AB16" s="89">
        <v>841300</v>
      </c>
      <c r="AC16" s="72" t="s">
        <v>377</v>
      </c>
      <c r="AD16" s="71" t="s">
        <v>292</v>
      </c>
      <c r="AE16" s="71" t="s">
        <v>278</v>
      </c>
      <c r="AF16" s="71">
        <v>1</v>
      </c>
      <c r="AG16" s="71" t="s">
        <v>271</v>
      </c>
      <c r="AH16" s="89" t="s">
        <v>169</v>
      </c>
      <c r="AI16" s="72" t="s">
        <v>105</v>
      </c>
      <c r="AJ16" s="172">
        <v>10000000</v>
      </c>
      <c r="AK16" s="172">
        <v>0</v>
      </c>
      <c r="AL16" s="71" t="s">
        <v>272</v>
      </c>
      <c r="AM16" s="71" t="s">
        <v>273</v>
      </c>
      <c r="AN16" s="89" t="s">
        <v>274</v>
      </c>
      <c r="AO16" s="71" t="s">
        <v>275</v>
      </c>
      <c r="AP16" s="72" t="s">
        <v>352</v>
      </c>
      <c r="AQ16" s="79">
        <v>3282888</v>
      </c>
      <c r="AR16" s="169" t="s">
        <v>353</v>
      </c>
    </row>
    <row r="17" spans="1:44" s="80" customFormat="1" ht="55.2" x14ac:dyDescent="0.3">
      <c r="A17" s="83" t="s">
        <v>378</v>
      </c>
      <c r="B17" s="72" t="s">
        <v>163</v>
      </c>
      <c r="C17" s="72" t="s">
        <v>205</v>
      </c>
      <c r="D17" s="89" t="s">
        <v>170</v>
      </c>
      <c r="E17" s="168" t="s">
        <v>324</v>
      </c>
      <c r="F17" s="89" t="s">
        <v>170</v>
      </c>
      <c r="G17" s="90" t="s">
        <v>822</v>
      </c>
      <c r="H17" s="166" t="s">
        <v>324</v>
      </c>
      <c r="I17" s="79" t="s">
        <v>379</v>
      </c>
      <c r="J17" s="89" t="s">
        <v>169</v>
      </c>
      <c r="K17" s="81">
        <v>12</v>
      </c>
      <c r="L17" s="74">
        <f t="shared" si="1"/>
        <v>1916666.6666666667</v>
      </c>
      <c r="M17" s="71"/>
      <c r="N17" s="75">
        <v>23000000</v>
      </c>
      <c r="O17" s="75"/>
      <c r="P17" s="75"/>
      <c r="Q17" s="75"/>
      <c r="R17" s="76">
        <v>23000000</v>
      </c>
      <c r="S17" s="76"/>
      <c r="T17" s="76"/>
      <c r="U17" s="76"/>
      <c r="V17" s="77"/>
      <c r="W17" s="77"/>
      <c r="X17" s="77"/>
      <c r="Y17" s="77"/>
      <c r="Z17" s="72" t="s">
        <v>379</v>
      </c>
      <c r="AA17" s="71"/>
      <c r="AB17" s="89">
        <v>84131600</v>
      </c>
      <c r="AC17" s="72" t="s">
        <v>379</v>
      </c>
      <c r="AD17" s="71" t="s">
        <v>277</v>
      </c>
      <c r="AE17" s="71" t="s">
        <v>277</v>
      </c>
      <c r="AF17" s="71">
        <v>1</v>
      </c>
      <c r="AG17" s="71" t="s">
        <v>271</v>
      </c>
      <c r="AH17" s="89" t="s">
        <v>169</v>
      </c>
      <c r="AI17" s="72" t="s">
        <v>105</v>
      </c>
      <c r="AJ17" s="172">
        <v>23000000</v>
      </c>
      <c r="AK17" s="172">
        <v>0</v>
      </c>
      <c r="AL17" s="71" t="s">
        <v>272</v>
      </c>
      <c r="AM17" s="71" t="s">
        <v>273</v>
      </c>
      <c r="AN17" s="89" t="s">
        <v>274</v>
      </c>
      <c r="AO17" s="71" t="s">
        <v>275</v>
      </c>
      <c r="AP17" s="72" t="s">
        <v>352</v>
      </c>
      <c r="AQ17" s="79">
        <v>3282888</v>
      </c>
      <c r="AR17" s="169" t="s">
        <v>353</v>
      </c>
    </row>
    <row r="18" spans="1:44" s="80" customFormat="1" ht="55.2" x14ac:dyDescent="0.3">
      <c r="A18" s="83" t="s">
        <v>380</v>
      </c>
      <c r="B18" s="72" t="s">
        <v>163</v>
      </c>
      <c r="C18" s="72" t="s">
        <v>205</v>
      </c>
      <c r="D18" s="89" t="s">
        <v>170</v>
      </c>
      <c r="E18" s="168" t="s">
        <v>324</v>
      </c>
      <c r="F18" s="89" t="s">
        <v>170</v>
      </c>
      <c r="G18" s="90" t="s">
        <v>381</v>
      </c>
      <c r="H18" s="166" t="s">
        <v>324</v>
      </c>
      <c r="I18" s="79" t="s">
        <v>382</v>
      </c>
      <c r="J18" s="89" t="s">
        <v>383</v>
      </c>
      <c r="K18" s="71">
        <v>9</v>
      </c>
      <c r="L18" s="74">
        <f t="shared" si="1"/>
        <v>5555555.555555556</v>
      </c>
      <c r="M18" s="71"/>
      <c r="N18" s="75">
        <v>50000000</v>
      </c>
      <c r="O18" s="75"/>
      <c r="P18" s="75"/>
      <c r="Q18" s="75"/>
      <c r="R18" s="76">
        <v>50000000</v>
      </c>
      <c r="S18" s="76"/>
      <c r="T18" s="76"/>
      <c r="U18" s="76"/>
      <c r="V18" s="77"/>
      <c r="W18" s="77"/>
      <c r="X18" s="77"/>
      <c r="Y18" s="77"/>
      <c r="Z18" s="72" t="s">
        <v>384</v>
      </c>
      <c r="AA18" s="71"/>
      <c r="AB18" s="89" t="s">
        <v>385</v>
      </c>
      <c r="AC18" s="72" t="s">
        <v>384</v>
      </c>
      <c r="AD18" s="71" t="s">
        <v>277</v>
      </c>
      <c r="AE18" s="71" t="s">
        <v>292</v>
      </c>
      <c r="AF18" s="71">
        <v>9</v>
      </c>
      <c r="AG18" s="71" t="s">
        <v>271</v>
      </c>
      <c r="AH18" s="89" t="s">
        <v>167</v>
      </c>
      <c r="AI18" s="72" t="s">
        <v>105</v>
      </c>
      <c r="AJ18" s="172">
        <v>50000000</v>
      </c>
      <c r="AK18" s="172">
        <v>0</v>
      </c>
      <c r="AL18" s="71" t="s">
        <v>272</v>
      </c>
      <c r="AM18" s="71" t="s">
        <v>273</v>
      </c>
      <c r="AN18" s="89" t="s">
        <v>274</v>
      </c>
      <c r="AO18" s="71" t="s">
        <v>275</v>
      </c>
      <c r="AP18" s="72" t="s">
        <v>352</v>
      </c>
      <c r="AQ18" s="79">
        <v>3282888</v>
      </c>
      <c r="AR18" s="169" t="s">
        <v>353</v>
      </c>
    </row>
    <row r="19" spans="1:44" s="80" customFormat="1" ht="82.8" x14ac:dyDescent="0.3">
      <c r="A19" s="83" t="s">
        <v>386</v>
      </c>
      <c r="B19" s="72" t="s">
        <v>163</v>
      </c>
      <c r="C19" s="72" t="s">
        <v>205</v>
      </c>
      <c r="D19" s="89" t="s">
        <v>170</v>
      </c>
      <c r="E19" s="168" t="s">
        <v>324</v>
      </c>
      <c r="F19" s="89" t="s">
        <v>170</v>
      </c>
      <c r="G19" s="90" t="s">
        <v>387</v>
      </c>
      <c r="H19" s="166" t="s">
        <v>324</v>
      </c>
      <c r="I19" s="79" t="s">
        <v>388</v>
      </c>
      <c r="J19" s="166" t="s">
        <v>167</v>
      </c>
      <c r="K19" s="71">
        <v>1</v>
      </c>
      <c r="L19" s="74">
        <f t="shared" si="1"/>
        <v>20000000</v>
      </c>
      <c r="M19" s="71"/>
      <c r="N19" s="84">
        <v>20000000</v>
      </c>
      <c r="O19" s="84"/>
      <c r="P19" s="84"/>
      <c r="Q19" s="84"/>
      <c r="R19" s="76">
        <v>20000000</v>
      </c>
      <c r="S19" s="76"/>
      <c r="T19" s="76"/>
      <c r="U19" s="76"/>
      <c r="V19" s="77"/>
      <c r="W19" s="77"/>
      <c r="X19" s="77"/>
      <c r="Y19" s="77"/>
      <c r="Z19" s="72" t="s">
        <v>388</v>
      </c>
      <c r="AA19" s="71"/>
      <c r="AB19" s="166" t="s">
        <v>389</v>
      </c>
      <c r="AC19" s="72" t="s">
        <v>388</v>
      </c>
      <c r="AD19" s="71" t="s">
        <v>298</v>
      </c>
      <c r="AE19" s="71" t="s">
        <v>298</v>
      </c>
      <c r="AF19" s="71">
        <v>1</v>
      </c>
      <c r="AG19" s="71" t="s">
        <v>271</v>
      </c>
      <c r="AH19" s="166" t="s">
        <v>167</v>
      </c>
      <c r="AI19" s="72" t="s">
        <v>105</v>
      </c>
      <c r="AJ19" s="172">
        <v>20000000</v>
      </c>
      <c r="AK19" s="172">
        <v>0</v>
      </c>
      <c r="AL19" s="71" t="s">
        <v>272</v>
      </c>
      <c r="AM19" s="71" t="s">
        <v>273</v>
      </c>
      <c r="AN19" s="89" t="s">
        <v>274</v>
      </c>
      <c r="AO19" s="71" t="s">
        <v>275</v>
      </c>
      <c r="AP19" s="72" t="s">
        <v>352</v>
      </c>
      <c r="AQ19" s="79">
        <v>3282888</v>
      </c>
      <c r="AR19" s="169" t="s">
        <v>353</v>
      </c>
    </row>
    <row r="20" spans="1:44" s="80" customFormat="1" ht="55.2" x14ac:dyDescent="0.3">
      <c r="A20" s="83" t="s">
        <v>390</v>
      </c>
      <c r="B20" s="72" t="s">
        <v>163</v>
      </c>
      <c r="C20" s="72" t="s">
        <v>168</v>
      </c>
      <c r="D20" s="89" t="s">
        <v>170</v>
      </c>
      <c r="E20" s="168" t="s">
        <v>324</v>
      </c>
      <c r="F20" s="89" t="s">
        <v>170</v>
      </c>
      <c r="G20" s="90" t="s">
        <v>391</v>
      </c>
      <c r="H20" s="166" t="s">
        <v>324</v>
      </c>
      <c r="I20" s="79" t="s">
        <v>392</v>
      </c>
      <c r="J20" s="89" t="s">
        <v>393</v>
      </c>
      <c r="K20" s="71">
        <v>7</v>
      </c>
      <c r="L20" s="74">
        <f t="shared" si="1"/>
        <v>17142857.142857142</v>
      </c>
      <c r="M20" s="71"/>
      <c r="N20" s="75">
        <v>120000000</v>
      </c>
      <c r="O20" s="75"/>
      <c r="P20" s="75"/>
      <c r="Q20" s="75"/>
      <c r="R20" s="76">
        <v>120000000</v>
      </c>
      <c r="S20" s="76"/>
      <c r="T20" s="76"/>
      <c r="U20" s="76"/>
      <c r="V20" s="77"/>
      <c r="W20" s="77"/>
      <c r="X20" s="77"/>
      <c r="Y20" s="77"/>
      <c r="Z20" s="72" t="s">
        <v>392</v>
      </c>
      <c r="AA20" s="71"/>
      <c r="AB20" s="166" t="s">
        <v>394</v>
      </c>
      <c r="AC20" s="72" t="s">
        <v>392</v>
      </c>
      <c r="AD20" s="71" t="s">
        <v>277</v>
      </c>
      <c r="AE20" s="71" t="s">
        <v>279</v>
      </c>
      <c r="AF20" s="71">
        <v>7</v>
      </c>
      <c r="AG20" s="71" t="s">
        <v>271</v>
      </c>
      <c r="AH20" s="89" t="s">
        <v>393</v>
      </c>
      <c r="AI20" s="89" t="s">
        <v>395</v>
      </c>
      <c r="AJ20" s="172">
        <v>120000000</v>
      </c>
      <c r="AK20" s="172">
        <v>120000000</v>
      </c>
      <c r="AL20" s="71" t="s">
        <v>272</v>
      </c>
      <c r="AM20" s="71" t="s">
        <v>273</v>
      </c>
      <c r="AN20" s="72" t="s">
        <v>274</v>
      </c>
      <c r="AO20" s="71" t="s">
        <v>275</v>
      </c>
      <c r="AP20" s="72" t="s">
        <v>396</v>
      </c>
      <c r="AQ20" s="79">
        <v>3282888</v>
      </c>
      <c r="AR20" s="169" t="s">
        <v>397</v>
      </c>
    </row>
    <row r="21" spans="1:44" s="80" customFormat="1" ht="55.2" x14ac:dyDescent="0.3">
      <c r="A21" s="83" t="s">
        <v>398</v>
      </c>
      <c r="B21" s="72" t="s">
        <v>163</v>
      </c>
      <c r="C21" s="72" t="s">
        <v>168</v>
      </c>
      <c r="D21" s="89" t="s">
        <v>170</v>
      </c>
      <c r="E21" s="168" t="s">
        <v>324</v>
      </c>
      <c r="F21" s="89" t="s">
        <v>170</v>
      </c>
      <c r="G21" s="166" t="s">
        <v>399</v>
      </c>
      <c r="H21" s="166" t="s">
        <v>324</v>
      </c>
      <c r="I21" s="79" t="s">
        <v>400</v>
      </c>
      <c r="J21" s="166" t="s">
        <v>167</v>
      </c>
      <c r="K21" s="71">
        <v>6</v>
      </c>
      <c r="L21" s="74">
        <f t="shared" si="1"/>
        <v>4166666.6666666665</v>
      </c>
      <c r="M21" s="71"/>
      <c r="N21" s="75">
        <v>25000000</v>
      </c>
      <c r="O21" s="75"/>
      <c r="P21" s="75"/>
      <c r="Q21" s="75"/>
      <c r="R21" s="76">
        <v>25000000</v>
      </c>
      <c r="S21" s="76"/>
      <c r="T21" s="76"/>
      <c r="U21" s="76"/>
      <c r="V21" s="77"/>
      <c r="W21" s="77"/>
      <c r="X21" s="77"/>
      <c r="Y21" s="77"/>
      <c r="Z21" s="72" t="s">
        <v>400</v>
      </c>
      <c r="AA21" s="71"/>
      <c r="AB21" s="166" t="s">
        <v>401</v>
      </c>
      <c r="AC21" s="72" t="s">
        <v>400</v>
      </c>
      <c r="AD21" s="71" t="s">
        <v>279</v>
      </c>
      <c r="AE21" s="71" t="s">
        <v>402</v>
      </c>
      <c r="AF21" s="71">
        <v>6</v>
      </c>
      <c r="AG21" s="71" t="s">
        <v>271</v>
      </c>
      <c r="AH21" s="166" t="s">
        <v>167</v>
      </c>
      <c r="AI21" s="89" t="s">
        <v>395</v>
      </c>
      <c r="AJ21" s="172">
        <v>25000000</v>
      </c>
      <c r="AK21" s="172">
        <v>25000000</v>
      </c>
      <c r="AL21" s="71" t="s">
        <v>272</v>
      </c>
      <c r="AM21" s="71" t="s">
        <v>273</v>
      </c>
      <c r="AN21" s="72" t="s">
        <v>274</v>
      </c>
      <c r="AO21" s="71" t="s">
        <v>275</v>
      </c>
      <c r="AP21" s="72" t="s">
        <v>396</v>
      </c>
      <c r="AQ21" s="79">
        <v>3282888</v>
      </c>
      <c r="AR21" s="169" t="s">
        <v>397</v>
      </c>
    </row>
    <row r="22" spans="1:44" s="80" customFormat="1" ht="138" x14ac:dyDescent="0.3">
      <c r="A22" s="83" t="s">
        <v>403</v>
      </c>
      <c r="B22" s="72" t="s">
        <v>163</v>
      </c>
      <c r="C22" s="72" t="s">
        <v>168</v>
      </c>
      <c r="D22" s="89" t="s">
        <v>170</v>
      </c>
      <c r="E22" s="168" t="s">
        <v>324</v>
      </c>
      <c r="F22" s="89" t="s">
        <v>170</v>
      </c>
      <c r="G22" s="90" t="s">
        <v>391</v>
      </c>
      <c r="H22" s="166" t="s">
        <v>324</v>
      </c>
      <c r="I22" s="79" t="s">
        <v>404</v>
      </c>
      <c r="J22" s="166" t="s">
        <v>167</v>
      </c>
      <c r="K22" s="71">
        <v>10</v>
      </c>
      <c r="L22" s="74">
        <f t="shared" si="1"/>
        <v>2400000</v>
      </c>
      <c r="M22" s="71"/>
      <c r="N22" s="75">
        <v>24000000</v>
      </c>
      <c r="O22" s="75"/>
      <c r="P22" s="75"/>
      <c r="Q22" s="75"/>
      <c r="R22" s="76">
        <v>24000000</v>
      </c>
      <c r="S22" s="76"/>
      <c r="T22" s="76"/>
      <c r="U22" s="76"/>
      <c r="V22" s="77"/>
      <c r="W22" s="77"/>
      <c r="X22" s="77"/>
      <c r="Y22" s="77"/>
      <c r="Z22" s="72" t="s">
        <v>404</v>
      </c>
      <c r="AA22" s="71"/>
      <c r="AB22" s="166" t="s">
        <v>405</v>
      </c>
      <c r="AC22" s="72" t="s">
        <v>404</v>
      </c>
      <c r="AD22" s="71" t="s">
        <v>278</v>
      </c>
      <c r="AE22" s="71" t="s">
        <v>278</v>
      </c>
      <c r="AF22" s="71">
        <v>10</v>
      </c>
      <c r="AG22" s="71" t="s">
        <v>271</v>
      </c>
      <c r="AH22" s="166" t="s">
        <v>167</v>
      </c>
      <c r="AI22" s="89" t="s">
        <v>395</v>
      </c>
      <c r="AJ22" s="172">
        <v>24000000</v>
      </c>
      <c r="AK22" s="172">
        <v>24000000</v>
      </c>
      <c r="AL22" s="71" t="s">
        <v>272</v>
      </c>
      <c r="AM22" s="71" t="s">
        <v>273</v>
      </c>
      <c r="AN22" s="72" t="s">
        <v>274</v>
      </c>
      <c r="AO22" s="71" t="s">
        <v>275</v>
      </c>
      <c r="AP22" s="72" t="s">
        <v>396</v>
      </c>
      <c r="AQ22" s="79">
        <v>3282888</v>
      </c>
      <c r="AR22" s="169" t="s">
        <v>397</v>
      </c>
    </row>
    <row r="23" spans="1:44" s="80" customFormat="1" ht="55.2" x14ac:dyDescent="0.3">
      <c r="A23" s="83" t="s">
        <v>406</v>
      </c>
      <c r="B23" s="72" t="s">
        <v>163</v>
      </c>
      <c r="C23" s="72" t="s">
        <v>168</v>
      </c>
      <c r="D23" s="89" t="s">
        <v>170</v>
      </c>
      <c r="E23" s="168" t="s">
        <v>324</v>
      </c>
      <c r="F23" s="89" t="s">
        <v>170</v>
      </c>
      <c r="G23" s="90" t="s">
        <v>407</v>
      </c>
      <c r="H23" s="166" t="s">
        <v>324</v>
      </c>
      <c r="I23" s="79" t="s">
        <v>408</v>
      </c>
      <c r="J23" s="166" t="s">
        <v>383</v>
      </c>
      <c r="K23" s="71">
        <v>9</v>
      </c>
      <c r="L23" s="74">
        <f t="shared" si="1"/>
        <v>5555555.555555556</v>
      </c>
      <c r="M23" s="71"/>
      <c r="N23" s="75">
        <v>50000000</v>
      </c>
      <c r="O23" s="75"/>
      <c r="P23" s="75"/>
      <c r="Q23" s="75"/>
      <c r="R23" s="76">
        <v>50000000</v>
      </c>
      <c r="S23" s="76"/>
      <c r="T23" s="76"/>
      <c r="U23" s="76"/>
      <c r="V23" s="77"/>
      <c r="W23" s="77"/>
      <c r="X23" s="77"/>
      <c r="Y23" s="77"/>
      <c r="Z23" s="72" t="s">
        <v>408</v>
      </c>
      <c r="AA23" s="71"/>
      <c r="AB23" s="166" t="s">
        <v>409</v>
      </c>
      <c r="AC23" s="72" t="s">
        <v>408</v>
      </c>
      <c r="AD23" s="71" t="s">
        <v>278</v>
      </c>
      <c r="AE23" s="71" t="s">
        <v>277</v>
      </c>
      <c r="AF23" s="71">
        <v>9</v>
      </c>
      <c r="AG23" s="71" t="s">
        <v>271</v>
      </c>
      <c r="AH23" s="166" t="s">
        <v>383</v>
      </c>
      <c r="AI23" s="89" t="s">
        <v>395</v>
      </c>
      <c r="AJ23" s="172">
        <v>50000000</v>
      </c>
      <c r="AK23" s="172">
        <v>50000000</v>
      </c>
      <c r="AL23" s="71" t="s">
        <v>272</v>
      </c>
      <c r="AM23" s="71" t="s">
        <v>273</v>
      </c>
      <c r="AN23" s="72" t="s">
        <v>274</v>
      </c>
      <c r="AO23" s="71" t="s">
        <v>275</v>
      </c>
      <c r="AP23" s="72" t="s">
        <v>396</v>
      </c>
      <c r="AQ23" s="79">
        <v>3282888</v>
      </c>
      <c r="AR23" s="169" t="s">
        <v>397</v>
      </c>
    </row>
    <row r="24" spans="1:44" s="80" customFormat="1" ht="55.2" x14ac:dyDescent="0.3">
      <c r="A24" s="83" t="s">
        <v>410</v>
      </c>
      <c r="B24" s="72" t="s">
        <v>163</v>
      </c>
      <c r="C24" s="72" t="s">
        <v>168</v>
      </c>
      <c r="D24" s="89" t="s">
        <v>170</v>
      </c>
      <c r="E24" s="168" t="s">
        <v>324</v>
      </c>
      <c r="F24" s="89" t="s">
        <v>170</v>
      </c>
      <c r="G24" s="90" t="s">
        <v>381</v>
      </c>
      <c r="H24" s="166" t="s">
        <v>324</v>
      </c>
      <c r="I24" s="79" t="s">
        <v>411</v>
      </c>
      <c r="J24" s="166" t="s">
        <v>167</v>
      </c>
      <c r="K24" s="71">
        <v>2</v>
      </c>
      <c r="L24" s="74">
        <f t="shared" si="1"/>
        <v>3500000</v>
      </c>
      <c r="M24" s="71"/>
      <c r="N24" s="84">
        <v>7000000</v>
      </c>
      <c r="O24" s="84"/>
      <c r="P24" s="84"/>
      <c r="Q24" s="84"/>
      <c r="R24" s="76">
        <v>7000000</v>
      </c>
      <c r="S24" s="76"/>
      <c r="T24" s="76"/>
      <c r="U24" s="76"/>
      <c r="V24" s="77"/>
      <c r="W24" s="77"/>
      <c r="X24" s="77"/>
      <c r="Y24" s="77"/>
      <c r="Z24" s="72" t="s">
        <v>411</v>
      </c>
      <c r="AA24" s="71"/>
      <c r="AB24" s="166" t="s">
        <v>412</v>
      </c>
      <c r="AC24" s="72" t="s">
        <v>411</v>
      </c>
      <c r="AD24" s="71" t="s">
        <v>294</v>
      </c>
      <c r="AE24" s="71" t="s">
        <v>297</v>
      </c>
      <c r="AF24" s="71">
        <v>2</v>
      </c>
      <c r="AG24" s="71" t="s">
        <v>271</v>
      </c>
      <c r="AH24" s="166" t="s">
        <v>167</v>
      </c>
      <c r="AI24" s="89" t="s">
        <v>395</v>
      </c>
      <c r="AJ24" s="172">
        <v>7000000</v>
      </c>
      <c r="AK24" s="172">
        <v>7000000</v>
      </c>
      <c r="AL24" s="71" t="s">
        <v>272</v>
      </c>
      <c r="AM24" s="71" t="s">
        <v>273</v>
      </c>
      <c r="AN24" s="72" t="s">
        <v>274</v>
      </c>
      <c r="AO24" s="71" t="s">
        <v>275</v>
      </c>
      <c r="AP24" s="72" t="s">
        <v>396</v>
      </c>
      <c r="AQ24" s="79">
        <v>3282888</v>
      </c>
      <c r="AR24" s="169" t="s">
        <v>397</v>
      </c>
    </row>
    <row r="25" spans="1:44" s="80" customFormat="1" ht="110.4" x14ac:dyDescent="0.3">
      <c r="A25" s="83" t="s">
        <v>413</v>
      </c>
      <c r="B25" s="72" t="s">
        <v>163</v>
      </c>
      <c r="C25" s="72" t="s">
        <v>168</v>
      </c>
      <c r="D25" s="89" t="s">
        <v>170</v>
      </c>
      <c r="E25" s="168" t="s">
        <v>324</v>
      </c>
      <c r="F25" s="89" t="s">
        <v>170</v>
      </c>
      <c r="G25" s="90" t="s">
        <v>818</v>
      </c>
      <c r="H25" s="166" t="s">
        <v>324</v>
      </c>
      <c r="I25" s="79" t="s">
        <v>339</v>
      </c>
      <c r="J25" s="89" t="s">
        <v>161</v>
      </c>
      <c r="K25" s="71">
        <v>6</v>
      </c>
      <c r="L25" s="74">
        <f t="shared" si="1"/>
        <v>5700000</v>
      </c>
      <c r="M25" s="71"/>
      <c r="N25" s="75">
        <v>34200000</v>
      </c>
      <c r="O25" s="75">
        <v>34200000</v>
      </c>
      <c r="P25" s="75">
        <f>N25-O25</f>
        <v>0</v>
      </c>
      <c r="Q25" s="75" t="s">
        <v>819</v>
      </c>
      <c r="R25" s="76">
        <v>34200000</v>
      </c>
      <c r="S25" s="85"/>
      <c r="T25" s="85"/>
      <c r="U25" s="76"/>
      <c r="V25" s="77"/>
      <c r="W25" s="77"/>
      <c r="X25" s="77"/>
      <c r="Y25" s="77"/>
      <c r="Z25" s="72" t="s">
        <v>339</v>
      </c>
      <c r="AA25" s="81"/>
      <c r="AB25" s="174" t="s">
        <v>414</v>
      </c>
      <c r="AC25" s="72" t="s">
        <v>339</v>
      </c>
      <c r="AD25" s="71" t="s">
        <v>292</v>
      </c>
      <c r="AE25" s="71" t="s">
        <v>298</v>
      </c>
      <c r="AF25" s="71">
        <v>6</v>
      </c>
      <c r="AG25" s="71" t="s">
        <v>271</v>
      </c>
      <c r="AH25" s="89" t="s">
        <v>161</v>
      </c>
      <c r="AI25" s="89" t="s">
        <v>395</v>
      </c>
      <c r="AJ25" s="176">
        <f>N25</f>
        <v>34200000</v>
      </c>
      <c r="AK25" s="176">
        <f>R25</f>
        <v>34200000</v>
      </c>
      <c r="AL25" s="71" t="s">
        <v>272</v>
      </c>
      <c r="AM25" s="71" t="s">
        <v>273</v>
      </c>
      <c r="AN25" s="72" t="s">
        <v>274</v>
      </c>
      <c r="AO25" s="71" t="s">
        <v>415</v>
      </c>
      <c r="AP25" s="72" t="s">
        <v>396</v>
      </c>
      <c r="AQ25" s="79">
        <v>3282888</v>
      </c>
      <c r="AR25" s="169" t="s">
        <v>397</v>
      </c>
    </row>
    <row r="26" spans="1:44" s="80" customFormat="1" ht="55.2" x14ac:dyDescent="0.3">
      <c r="A26" s="83" t="s">
        <v>416</v>
      </c>
      <c r="B26" s="72" t="s">
        <v>163</v>
      </c>
      <c r="C26" s="72" t="s">
        <v>168</v>
      </c>
      <c r="D26" s="89" t="s">
        <v>170</v>
      </c>
      <c r="E26" s="168" t="s">
        <v>324</v>
      </c>
      <c r="F26" s="89" t="s">
        <v>170</v>
      </c>
      <c r="G26" s="90" t="s">
        <v>417</v>
      </c>
      <c r="H26" s="166" t="s">
        <v>324</v>
      </c>
      <c r="I26" s="79" t="s">
        <v>418</v>
      </c>
      <c r="J26" s="89" t="s">
        <v>161</v>
      </c>
      <c r="K26" s="71">
        <v>4</v>
      </c>
      <c r="L26" s="74">
        <f t="shared" si="1"/>
        <v>4400000</v>
      </c>
      <c r="M26" s="71"/>
      <c r="N26" s="75">
        <v>17600000</v>
      </c>
      <c r="O26" s="75">
        <v>17600000</v>
      </c>
      <c r="P26" s="75">
        <f>N26-O26</f>
        <v>0</v>
      </c>
      <c r="Q26" s="75" t="s">
        <v>812</v>
      </c>
      <c r="R26" s="76">
        <v>17600000</v>
      </c>
      <c r="S26" s="85"/>
      <c r="T26" s="85"/>
      <c r="U26" s="76"/>
      <c r="V26" s="77"/>
      <c r="W26" s="77"/>
      <c r="X26" s="77"/>
      <c r="Y26" s="77"/>
      <c r="Z26" s="72" t="s">
        <v>418</v>
      </c>
      <c r="AA26" s="81"/>
      <c r="AB26" s="174" t="s">
        <v>419</v>
      </c>
      <c r="AC26" s="72" t="s">
        <v>418</v>
      </c>
      <c r="AD26" s="71" t="s">
        <v>292</v>
      </c>
      <c r="AE26" s="71" t="s">
        <v>402</v>
      </c>
      <c r="AF26" s="71">
        <v>4</v>
      </c>
      <c r="AG26" s="71" t="s">
        <v>271</v>
      </c>
      <c r="AH26" s="89" t="s">
        <v>161</v>
      </c>
      <c r="AI26" s="89" t="s">
        <v>395</v>
      </c>
      <c r="AJ26" s="172">
        <v>17600000</v>
      </c>
      <c r="AK26" s="172">
        <v>17600000</v>
      </c>
      <c r="AL26" s="71" t="s">
        <v>272</v>
      </c>
      <c r="AM26" s="71" t="s">
        <v>273</v>
      </c>
      <c r="AN26" s="72" t="s">
        <v>274</v>
      </c>
      <c r="AO26" s="71" t="s">
        <v>275</v>
      </c>
      <c r="AP26" s="72" t="s">
        <v>396</v>
      </c>
      <c r="AQ26" s="79">
        <v>3282888</v>
      </c>
      <c r="AR26" s="169" t="s">
        <v>397</v>
      </c>
    </row>
    <row r="27" spans="1:44" s="80" customFormat="1" ht="110.4" x14ac:dyDescent="0.3">
      <c r="A27" s="83" t="s">
        <v>420</v>
      </c>
      <c r="B27" s="72" t="s">
        <v>163</v>
      </c>
      <c r="C27" s="72" t="s">
        <v>163</v>
      </c>
      <c r="D27" s="89" t="s">
        <v>170</v>
      </c>
      <c r="E27" s="168" t="s">
        <v>324</v>
      </c>
      <c r="F27" s="89" t="s">
        <v>170</v>
      </c>
      <c r="G27" s="90" t="s">
        <v>417</v>
      </c>
      <c r="H27" s="166" t="s">
        <v>324</v>
      </c>
      <c r="I27" s="72" t="s">
        <v>421</v>
      </c>
      <c r="J27" s="89" t="s">
        <v>161</v>
      </c>
      <c r="K27" s="71">
        <v>10</v>
      </c>
      <c r="L27" s="74">
        <f t="shared" si="1"/>
        <v>7000000</v>
      </c>
      <c r="M27" s="71"/>
      <c r="N27" s="75">
        <v>70000000</v>
      </c>
      <c r="O27" s="75">
        <v>70000000</v>
      </c>
      <c r="P27" s="75">
        <f>N27-O27</f>
        <v>0</v>
      </c>
      <c r="Q27" s="75" t="s">
        <v>812</v>
      </c>
      <c r="R27" s="76">
        <v>70000000</v>
      </c>
      <c r="S27" s="85"/>
      <c r="T27" s="85"/>
      <c r="U27" s="76"/>
      <c r="V27" s="77"/>
      <c r="W27" s="77"/>
      <c r="X27" s="77"/>
      <c r="Y27" s="77"/>
      <c r="Z27" s="72" t="s">
        <v>422</v>
      </c>
      <c r="AA27" s="81"/>
      <c r="AB27" s="175" t="s">
        <v>423</v>
      </c>
      <c r="AC27" s="89" t="s">
        <v>422</v>
      </c>
      <c r="AD27" s="168" t="s">
        <v>292</v>
      </c>
      <c r="AE27" s="168" t="s">
        <v>292</v>
      </c>
      <c r="AF27" s="168">
        <v>10</v>
      </c>
      <c r="AG27" s="168" t="s">
        <v>271</v>
      </c>
      <c r="AH27" s="89" t="s">
        <v>161</v>
      </c>
      <c r="AI27" s="89" t="s">
        <v>395</v>
      </c>
      <c r="AJ27" s="167">
        <v>70000000</v>
      </c>
      <c r="AK27" s="167">
        <v>70000000</v>
      </c>
      <c r="AL27" s="168" t="s">
        <v>272</v>
      </c>
      <c r="AM27" s="168" t="s">
        <v>273</v>
      </c>
      <c r="AN27" s="89" t="s">
        <v>274</v>
      </c>
      <c r="AO27" s="168" t="s">
        <v>275</v>
      </c>
      <c r="AP27" s="72" t="s">
        <v>424</v>
      </c>
      <c r="AQ27" s="79">
        <v>3282888</v>
      </c>
      <c r="AR27" s="170" t="s">
        <v>425</v>
      </c>
    </row>
    <row r="28" spans="1:44" s="80" customFormat="1" ht="110.4" x14ac:dyDescent="0.3">
      <c r="A28" s="83" t="s">
        <v>426</v>
      </c>
      <c r="B28" s="72" t="s">
        <v>163</v>
      </c>
      <c r="C28" s="72" t="s">
        <v>163</v>
      </c>
      <c r="D28" s="89" t="s">
        <v>170</v>
      </c>
      <c r="E28" s="168" t="s">
        <v>324</v>
      </c>
      <c r="F28" s="89" t="s">
        <v>170</v>
      </c>
      <c r="G28" s="90" t="s">
        <v>417</v>
      </c>
      <c r="H28" s="166" t="s">
        <v>324</v>
      </c>
      <c r="I28" s="72" t="s">
        <v>427</v>
      </c>
      <c r="J28" s="89" t="s">
        <v>161</v>
      </c>
      <c r="K28" s="71">
        <v>10</v>
      </c>
      <c r="L28" s="74">
        <f t="shared" si="1"/>
        <v>7000000</v>
      </c>
      <c r="M28" s="71"/>
      <c r="N28" s="75">
        <v>70000000</v>
      </c>
      <c r="O28" s="75"/>
      <c r="P28" s="75"/>
      <c r="Q28" s="75"/>
      <c r="R28" s="76">
        <v>70000000</v>
      </c>
      <c r="S28" s="85"/>
      <c r="T28" s="85"/>
      <c r="U28" s="76"/>
      <c r="V28" s="77"/>
      <c r="W28" s="77"/>
      <c r="X28" s="77"/>
      <c r="Y28" s="77"/>
      <c r="Z28" s="72" t="s">
        <v>422</v>
      </c>
      <c r="AA28" s="81"/>
      <c r="AB28" s="175" t="s">
        <v>423</v>
      </c>
      <c r="AC28" s="89" t="s">
        <v>422</v>
      </c>
      <c r="AD28" s="168" t="s">
        <v>292</v>
      </c>
      <c r="AE28" s="168" t="s">
        <v>292</v>
      </c>
      <c r="AF28" s="168">
        <v>10</v>
      </c>
      <c r="AG28" s="168" t="s">
        <v>271</v>
      </c>
      <c r="AH28" s="89" t="s">
        <v>161</v>
      </c>
      <c r="AI28" s="89" t="s">
        <v>395</v>
      </c>
      <c r="AJ28" s="167">
        <v>70000000</v>
      </c>
      <c r="AK28" s="167">
        <v>70000000</v>
      </c>
      <c r="AL28" s="168" t="s">
        <v>272</v>
      </c>
      <c r="AM28" s="168" t="s">
        <v>273</v>
      </c>
      <c r="AN28" s="89" t="s">
        <v>274</v>
      </c>
      <c r="AO28" s="168" t="s">
        <v>275</v>
      </c>
      <c r="AP28" s="72" t="s">
        <v>424</v>
      </c>
      <c r="AQ28" s="79">
        <v>3282888</v>
      </c>
      <c r="AR28" s="170" t="s">
        <v>425</v>
      </c>
    </row>
    <row r="29" spans="1:44" s="88" customFormat="1" ht="55.2" x14ac:dyDescent="0.3">
      <c r="A29" s="83" t="s">
        <v>428</v>
      </c>
      <c r="B29" s="72" t="s">
        <v>163</v>
      </c>
      <c r="C29" s="72" t="s">
        <v>163</v>
      </c>
      <c r="D29" s="89" t="s">
        <v>170</v>
      </c>
      <c r="E29" s="168" t="s">
        <v>324</v>
      </c>
      <c r="F29" s="89" t="s">
        <v>170</v>
      </c>
      <c r="G29" s="90" t="s">
        <v>417</v>
      </c>
      <c r="H29" s="166" t="s">
        <v>324</v>
      </c>
      <c r="I29" s="72" t="s">
        <v>429</v>
      </c>
      <c r="J29" s="89" t="s">
        <v>161</v>
      </c>
      <c r="K29" s="79">
        <v>10</v>
      </c>
      <c r="L29" s="74">
        <f t="shared" si="1"/>
        <v>5753490.7999999998</v>
      </c>
      <c r="M29" s="79"/>
      <c r="N29" s="86">
        <v>57534908</v>
      </c>
      <c r="O29" s="86"/>
      <c r="P29" s="86"/>
      <c r="Q29" s="86"/>
      <c r="R29" s="76">
        <v>57534908</v>
      </c>
      <c r="S29" s="87"/>
      <c r="T29" s="87"/>
      <c r="U29" s="87"/>
      <c r="V29" s="87"/>
      <c r="W29" s="87"/>
      <c r="X29" s="87"/>
      <c r="Y29" s="87"/>
      <c r="Z29" s="72" t="s">
        <v>429</v>
      </c>
      <c r="AA29" s="79"/>
      <c r="AB29" s="175" t="s">
        <v>423</v>
      </c>
      <c r="AC29" s="89" t="s">
        <v>429</v>
      </c>
      <c r="AD29" s="89" t="s">
        <v>292</v>
      </c>
      <c r="AE29" s="89" t="s">
        <v>292</v>
      </c>
      <c r="AF29" s="168">
        <v>10</v>
      </c>
      <c r="AG29" s="89" t="s">
        <v>271</v>
      </c>
      <c r="AH29" s="89" t="s">
        <v>161</v>
      </c>
      <c r="AI29" s="89" t="s">
        <v>395</v>
      </c>
      <c r="AJ29" s="176">
        <f>N29</f>
        <v>57534908</v>
      </c>
      <c r="AK29" s="176">
        <f>AJ29</f>
        <v>57534908</v>
      </c>
      <c r="AL29" s="89" t="s">
        <v>272</v>
      </c>
      <c r="AM29" s="89" t="s">
        <v>273</v>
      </c>
      <c r="AN29" s="89" t="s">
        <v>274</v>
      </c>
      <c r="AO29" s="89" t="s">
        <v>275</v>
      </c>
      <c r="AP29" s="72" t="s">
        <v>424</v>
      </c>
      <c r="AQ29" s="79">
        <v>3282888</v>
      </c>
      <c r="AR29" s="170" t="s">
        <v>425</v>
      </c>
    </row>
    <row r="30" spans="1:44" ht="14.4" x14ac:dyDescent="0.3">
      <c r="A30" s="83"/>
      <c r="B30" s="72"/>
      <c r="C30" s="72"/>
      <c r="D30" s="72"/>
      <c r="E30" s="73" t="s">
        <v>821</v>
      </c>
      <c r="F30" s="72"/>
      <c r="G30" s="73" t="s">
        <v>821</v>
      </c>
      <c r="H30" s="72"/>
      <c r="I30" s="72"/>
      <c r="J30" s="72"/>
      <c r="K30" s="71"/>
      <c r="L30" s="99"/>
      <c r="M30" s="83"/>
      <c r="N30" s="84" t="str">
        <f t="shared" ref="N30:N31" si="2">IF(SUM(R30:U30)=0,"-",SUM(R30:U30))</f>
        <v>-</v>
      </c>
      <c r="O30" s="84"/>
      <c r="P30" s="84"/>
      <c r="Q30" s="84"/>
      <c r="R30" s="100"/>
      <c r="S30" s="100"/>
      <c r="T30" s="100"/>
      <c r="U30" s="100"/>
      <c r="V30" s="101"/>
      <c r="W30" s="101"/>
      <c r="X30" s="101"/>
      <c r="Y30" s="101"/>
      <c r="Z30" s="83"/>
      <c r="AA30" s="83"/>
      <c r="AB30" s="79"/>
      <c r="AC30" s="102"/>
      <c r="AD30" s="83"/>
      <c r="AE30" s="83"/>
      <c r="AF30" s="83"/>
      <c r="AG30" s="83"/>
      <c r="AH30" s="79" t="str">
        <f>IF(J30="","",J30)</f>
        <v/>
      </c>
      <c r="AI30" s="79" t="str">
        <f t="shared" ref="AI30:AI31" si="3">IF(SUM(T149:W149)=0,"-",IF(SUM(T149:U149)&gt;=SUM(V149:W149),"Nación","Propios"))</f>
        <v>-</v>
      </c>
      <c r="AJ30" s="103"/>
      <c r="AK30" s="103"/>
      <c r="AL30" s="83"/>
      <c r="AM30" s="83"/>
      <c r="AN30" s="71"/>
      <c r="AO30" s="71"/>
      <c r="AP30" s="72"/>
      <c r="AQ30" s="79"/>
      <c r="AR30" s="72"/>
    </row>
    <row r="31" spans="1:44" ht="14.4" x14ac:dyDescent="0.3">
      <c r="A31" s="83"/>
      <c r="B31" s="72"/>
      <c r="C31" s="72"/>
      <c r="D31" s="72"/>
      <c r="E31" s="73" t="s">
        <v>821</v>
      </c>
      <c r="F31" s="72"/>
      <c r="G31" s="73" t="s">
        <v>821</v>
      </c>
      <c r="H31" s="72"/>
      <c r="I31" s="72"/>
      <c r="J31" s="72"/>
      <c r="K31" s="71"/>
      <c r="L31" s="99"/>
      <c r="M31" s="83"/>
      <c r="N31" s="84" t="str">
        <f t="shared" si="2"/>
        <v>-</v>
      </c>
      <c r="O31" s="84"/>
      <c r="P31" s="84"/>
      <c r="Q31" s="84"/>
      <c r="R31" s="100"/>
      <c r="S31" s="100"/>
      <c r="T31" s="100"/>
      <c r="U31" s="100"/>
      <c r="V31" s="101"/>
      <c r="W31" s="101"/>
      <c r="X31" s="101"/>
      <c r="Y31" s="101"/>
      <c r="Z31" s="83"/>
      <c r="AA31" s="83"/>
      <c r="AB31" s="79"/>
      <c r="AC31" s="102"/>
      <c r="AD31" s="83"/>
      <c r="AE31" s="83"/>
      <c r="AF31" s="83"/>
      <c r="AG31" s="83"/>
      <c r="AH31" s="79" t="str">
        <f>IF(J31="","",J31)</f>
        <v/>
      </c>
      <c r="AI31" s="79" t="str">
        <f t="shared" si="3"/>
        <v>-</v>
      </c>
      <c r="AJ31" s="103"/>
      <c r="AK31" s="103"/>
      <c r="AL31" s="83"/>
      <c r="AM31" s="83"/>
      <c r="AN31" s="71"/>
      <c r="AO31" s="71"/>
      <c r="AP31" s="72"/>
      <c r="AQ31" s="79"/>
      <c r="AR31" s="72"/>
    </row>
    <row r="32" spans="1:44" ht="23.25" customHeight="1" x14ac:dyDescent="0.3">
      <c r="L32" s="106"/>
      <c r="M32" s="92"/>
      <c r="N32" s="177">
        <f>SUM(N2:N31)</f>
        <v>3909901248</v>
      </c>
      <c r="O32" s="177"/>
      <c r="P32" s="177"/>
      <c r="Q32" s="177"/>
      <c r="R32" s="177">
        <f>SUM(R2:R31)</f>
        <v>3909901248</v>
      </c>
      <c r="S32" s="106"/>
      <c r="T32" s="106">
        <f>SUM(T10:T31)</f>
        <v>0</v>
      </c>
      <c r="U32" s="106">
        <f>SUM(U10:U31)</f>
        <v>0</v>
      </c>
      <c r="V32" s="92"/>
      <c r="W32" s="92"/>
      <c r="X32" s="92"/>
      <c r="Y32" s="92"/>
      <c r="Z32" s="92"/>
      <c r="AA32" s="92"/>
      <c r="AB32" s="108"/>
      <c r="AC32" s="109"/>
      <c r="AD32" s="107"/>
      <c r="AE32" s="107"/>
      <c r="AF32" s="107"/>
      <c r="AG32" s="107"/>
      <c r="AH32" s="108"/>
      <c r="AI32" s="107"/>
      <c r="AJ32" s="110"/>
      <c r="AK32" s="110"/>
      <c r="AL32" s="107"/>
      <c r="AM32" s="107"/>
    </row>
    <row r="33" spans="12:39" ht="23.25" customHeight="1" x14ac:dyDescent="0.3">
      <c r="L33" s="106"/>
      <c r="M33" s="92"/>
      <c r="N33" s="106"/>
      <c r="O33" s="106"/>
      <c r="P33" s="106"/>
      <c r="Q33" s="106"/>
      <c r="R33" s="92"/>
      <c r="S33" s="92"/>
      <c r="T33" s="92"/>
      <c r="U33" s="92"/>
      <c r="V33" s="92"/>
      <c r="W33" s="92"/>
      <c r="X33" s="92"/>
      <c r="Y33" s="92"/>
      <c r="Z33" s="92"/>
      <c r="AA33" s="92"/>
      <c r="AB33" s="108"/>
      <c r="AC33" s="109"/>
      <c r="AD33" s="107"/>
      <c r="AE33" s="107"/>
      <c r="AF33" s="107"/>
      <c r="AG33" s="107"/>
      <c r="AH33" s="108"/>
      <c r="AI33" s="107"/>
      <c r="AJ33" s="107"/>
      <c r="AK33" s="107"/>
      <c r="AL33" s="107"/>
      <c r="AM33" s="107"/>
    </row>
    <row r="34" spans="12:39" ht="23.25" customHeight="1" x14ac:dyDescent="0.3">
      <c r="AK34" s="97"/>
    </row>
  </sheetData>
  <dataValidations count="11">
    <dataValidation type="list" allowBlank="1" showInputMessage="1" showErrorMessage="1" sqref="AN10:AN31" xr:uid="{DEE42350-3865-4EB8-90AD-CC008EDC96BC}">
      <formula1>"PROCESO DE GESTIÓN CONTRACTUAL"</formula1>
    </dataValidation>
    <dataValidation type="list" allowBlank="1" showInputMessage="1" showErrorMessage="1" sqref="AF9:AF31" xr:uid="{5C9A006F-D1A9-4DE2-8F02-2EAC85B3FE29}">
      <formula1>"1,2,3,4,5,6,7,8,9,10,11,12"</formula1>
    </dataValidation>
    <dataValidation type="list" allowBlank="1" showInputMessage="1" showErrorMessage="1" sqref="AL10:AL31" xr:uid="{15577F2F-5E3F-493F-9955-5D74F1FFB09C}">
      <formula1>"SI,NO"</formula1>
    </dataValidation>
    <dataValidation type="list" allowBlank="1" showInputMessage="1" showErrorMessage="1" sqref="AO10:AO31" xr:uid="{FFB91311-B80E-45AD-A0A2-E07384918579}">
      <formula1>"Bogotá,Funza"</formula1>
    </dataValidation>
    <dataValidation type="list" allowBlank="1" showInputMessage="1" showErrorMessage="1" sqref="H30:H31 F2:F31" xr:uid="{6A14D7A9-598F-456F-94CF-7A4D705F0979}">
      <formula1>INDIRECT(E2)</formula1>
    </dataValidation>
    <dataValidation type="list" allowBlank="1" showInputMessage="1" showErrorMessage="1" sqref="AM10:AM31" xr:uid="{F4B9052A-BE71-42D4-B73B-D286B80D1111}">
      <formula1>"Aprobadas,No Aplica,Solicitadas,No Solicitadas"</formula1>
    </dataValidation>
    <dataValidation type="list" allowBlank="1" showInputMessage="1" showErrorMessage="1" sqref="J30:J31 AO1" xr:uid="{173EC0E3-9483-4528-8D95-95DB7990A03F}">
      <formula1>#REF!</formula1>
    </dataValidation>
    <dataValidation type="list" allowBlank="1" showInputMessage="1" showErrorMessage="1" sqref="AD9:AD31" xr:uid="{C8088989-C6A3-4F14-8C6F-AA760220ED71}">
      <formula1>"ENERO,FEBRERO,MARZO,ABRIL,MAYO,JUNIO,JULIO,AGOSTO,SEPTIEMBRE,OCTUBRE,NOVIEMBRE,DICIEMBRE"</formula1>
    </dataValidation>
    <dataValidation type="textLength" operator="lessThan" allowBlank="1" showInputMessage="1" showErrorMessage="1" sqref="AA23 AA8:AA9 AA29 AA18 AA20:AA21 Z30:AA31" xr:uid="{F7400C12-1453-4D79-B0F4-C0F67494963F}">
      <formula1>300</formula1>
    </dataValidation>
    <dataValidation type="list" allowBlank="1" showInputMessage="1" showErrorMessage="1" sqref="AE9:AE31" xr:uid="{5B3A95E5-2C99-49BF-8F8C-15EF9479D900}">
      <formula1>"ENERO,FEBRERO,MARZO,ABRIL,MAYO,JUNIO,JULIO,AGOSTO,SEPTIEMBRE,OCTUBRE,NOVIEMBRE"</formula1>
    </dataValidation>
    <dataValidation type="list" allowBlank="1" showInputMessage="1" showErrorMessage="1" sqref="AG9:AG31" xr:uid="{91937553-A1D4-4DCD-83D5-F29D71982928}">
      <formula1>"DÍAS,MESES,AÑOS"</formula1>
    </dataValidation>
  </dataValidations>
  <hyperlinks>
    <hyperlink ref="AR10" r:id="rId1" xr:uid="{17666B17-5054-4C10-85B2-8E4AD8134F95}"/>
    <hyperlink ref="AR11" r:id="rId2" xr:uid="{0CFCBBAE-5B5D-4F19-B855-6E1E39CD634D}"/>
    <hyperlink ref="AR12" r:id="rId3" xr:uid="{FAEC1782-4FA5-45D4-A37C-A3D3A586C7CC}"/>
    <hyperlink ref="AR13" r:id="rId4" xr:uid="{C0FFE21F-B05F-457A-94AC-BE024C1EE838}"/>
    <hyperlink ref="AR14" r:id="rId5" xr:uid="{9015BB82-9036-44DF-8F49-859EE19D9835}"/>
    <hyperlink ref="AR15" r:id="rId6" xr:uid="{1351422C-51FA-46C0-BD36-2E5AFEEC7274}"/>
    <hyperlink ref="AR16" r:id="rId7" xr:uid="{5135120F-8D63-4135-9F26-5D5A35143F7F}"/>
    <hyperlink ref="AR17" r:id="rId8" xr:uid="{9B1D0FC0-F1A5-4E61-B040-6D7B8947CD13}"/>
    <hyperlink ref="AR18" r:id="rId9" xr:uid="{DD520A73-D77E-4D2B-9B36-83636B7CDD09}"/>
    <hyperlink ref="AR19" r:id="rId10" xr:uid="{10D53D4E-3776-4406-9AA8-53DCAB0C8EBA}"/>
    <hyperlink ref="AR20" r:id="rId11" xr:uid="{B773B387-F870-4AA3-B021-238785EAA5BB}"/>
    <hyperlink ref="AR21" r:id="rId12" xr:uid="{BA695292-3F53-42BA-AA8A-B218C4AF6689}"/>
    <hyperlink ref="AR22" r:id="rId13" xr:uid="{A4C61D40-7048-40B8-BCC8-5BDB252D99F9}"/>
    <hyperlink ref="AR23" r:id="rId14" xr:uid="{84DD7B36-72CE-49B7-8D03-C66A5E15E524}"/>
    <hyperlink ref="AR24" r:id="rId15" xr:uid="{47DCBEFB-D25C-46F9-8B44-18A2A7586D1E}"/>
    <hyperlink ref="AR25" r:id="rId16" xr:uid="{0EEAC95E-F12E-4B5D-B22F-2EE9BA9704DC}"/>
    <hyperlink ref="AR26" r:id="rId17" xr:uid="{91E359D0-1B49-4D2E-85C9-CAFCCC03C7AB}"/>
    <hyperlink ref="AR27" r:id="rId18" xr:uid="{E71016A7-9D52-425B-ACEE-1AFE51AB48D8}"/>
    <hyperlink ref="AR28" r:id="rId19" xr:uid="{B480C643-FBD9-49E4-B900-2386772BB92E}"/>
    <hyperlink ref="AR29" r:id="rId20" xr:uid="{BF6AFA4E-E4BA-4FC9-AF13-61BAF23D8243}"/>
  </hyperlinks>
  <printOptions horizontalCentered="1"/>
  <pageMargins left="3.937007874015748E-2" right="0.70866141732283472" top="0.74803149606299213" bottom="0.74803149606299213" header="0.31496062992125984" footer="0.31496062992125984"/>
  <pageSetup paperSize="9" scale="20" orientation="landscape" horizontalDpi="300" verticalDpi="300" r:id="rId21"/>
  <headerFooter>
    <oddHeader>&amp;L&amp;G&amp;C&amp;"-,Negrita"FORMATO DE SOLICITUD DE RECURSOS&amp;R&amp;K000000PLE-FO-06</oddHeader>
    <oddFooter>&amp;CFavor imprimir a doble cara
Proceso: Planeacion Estrategica PLE, Versión del formato 01, Página &amp;P, formato vigente desde: 13-07-2023 
Este documento es fiel copia del original, su impresión se considera copia no controlada.</oddFooter>
  </headerFooter>
  <legacyDrawingHF r:id="rId22"/>
  <extLst>
    <ext xmlns:x14="http://schemas.microsoft.com/office/spreadsheetml/2009/9/main" uri="{CCE6A557-97BC-4b89-ADB6-D9C93CAAB3DF}">
      <x14:dataValidations xmlns:xm="http://schemas.microsoft.com/office/excel/2006/main" count="2">
        <x14:dataValidation type="list" allowBlank="1" showInputMessage="1" showErrorMessage="1" xr:uid="{C278E56E-828F-4278-A55F-353CAD4BD71D}">
          <x14:formula1>
            <xm:f>'C:\Users\Alexander.pantoja\Desktop\Reunión distribución 23_10_2023\VERSIONES ACTUALIZADAS DICIEMBRE\[5. FUNCIONAMIENTO 2024 PLE-FO-06 FORMATO DE SOLICITUD DE RECURSOS_2024.xlsx]DATOS'!#REF!</xm:f>
          </x14:formula1>
          <xm:sqref>D30:D31 B2:C31</xm:sqref>
        </x14:dataValidation>
        <x14:dataValidation type="list" allowBlank="1" showInputMessage="1" showErrorMessage="1" xr:uid="{23D04E75-045E-47B1-B14D-631CEB14F3F3}">
          <x14:formula1>
            <xm:f>'https://archivogeneral-my.sharepoint.com/personal/jsalguero_archivogeneral_gov_co/Documents/Evidencias Procedimientos/04. Mayo/[PAA versión 5052020_sistemas - Mayo.xlsx]Datos'!#REF!</xm:f>
          </x14:formula1>
          <xm:sqref>H1 AN1 AD1:AF1 T1:U9 AH1 F1 I1:I9 AQ1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4"/>
  <sheetViews>
    <sheetView zoomScale="85" zoomScaleNormal="85" zoomScaleSheetLayoutView="55" workbookViewId="0">
      <selection activeCell="C1" sqref="C1"/>
    </sheetView>
  </sheetViews>
  <sheetFormatPr baseColWidth="10" defaultColWidth="11.44140625" defaultRowHeight="14.4" x14ac:dyDescent="0.3"/>
  <cols>
    <col min="1" max="1" width="17" style="19" customWidth="1"/>
    <col min="2" max="2" width="35.44140625" style="19" customWidth="1"/>
    <col min="3" max="3" width="26.109375" style="19" customWidth="1"/>
    <col min="4" max="4" width="26.6640625" style="19" customWidth="1"/>
    <col min="5" max="5" width="31.109375" style="19" customWidth="1"/>
    <col min="6" max="6" width="28.44140625" style="19" customWidth="1"/>
    <col min="7" max="7" width="37.88671875" style="19" customWidth="1"/>
    <col min="8" max="8" width="18.6640625" style="19" customWidth="1"/>
    <col min="9" max="9" width="15" style="19" customWidth="1"/>
    <col min="10" max="10" width="12.6640625" style="19" customWidth="1"/>
    <col min="11" max="11" width="17.44140625" style="22" customWidth="1"/>
    <col min="12" max="12" width="15.109375" style="22" customWidth="1"/>
    <col min="13" max="13" width="14.6640625" style="22" customWidth="1"/>
    <col min="14" max="14" width="15" style="19" customWidth="1"/>
    <col min="15" max="15" width="14" style="19" customWidth="1"/>
    <col min="16" max="16" width="14" style="2" customWidth="1"/>
    <col min="17" max="17" width="48.5546875" style="19" customWidth="1"/>
    <col min="18" max="16384" width="11.44140625" style="19"/>
  </cols>
  <sheetData>
    <row r="1" spans="1:17" ht="19.5" customHeight="1" x14ac:dyDescent="0.3">
      <c r="A1" s="3"/>
      <c r="B1" s="120" t="s">
        <v>1</v>
      </c>
      <c r="C1" s="149">
        <v>2023</v>
      </c>
      <c r="D1" s="113"/>
      <c r="E1" s="113"/>
      <c r="F1" s="113"/>
      <c r="G1" s="113"/>
      <c r="H1" s="113"/>
      <c r="I1" s="113"/>
      <c r="J1" s="113"/>
      <c r="K1" s="121"/>
      <c r="L1" s="121"/>
      <c r="M1" s="121"/>
      <c r="N1" s="113"/>
      <c r="O1" s="113"/>
      <c r="P1" s="113"/>
    </row>
    <row r="2" spans="1:17" ht="18" customHeight="1" x14ac:dyDescent="0.3">
      <c r="A2" s="3"/>
      <c r="B2" s="113"/>
      <c r="C2" s="113"/>
      <c r="D2" s="113"/>
      <c r="E2" s="113"/>
      <c r="F2" s="113"/>
      <c r="G2" s="113"/>
      <c r="H2" s="113"/>
      <c r="I2" s="113"/>
      <c r="J2" s="113"/>
      <c r="K2" s="121"/>
      <c r="L2" s="121"/>
      <c r="M2" s="121"/>
      <c r="N2" s="112"/>
      <c r="O2" s="112"/>
      <c r="P2" s="112"/>
    </row>
    <row r="3" spans="1:17" ht="21" customHeight="1" x14ac:dyDescent="0.3">
      <c r="A3" s="3"/>
      <c r="B3" s="120" t="s">
        <v>23</v>
      </c>
      <c r="C3" s="130"/>
      <c r="E3" s="122"/>
      <c r="F3" s="123"/>
      <c r="G3" s="120" t="s">
        <v>24</v>
      </c>
      <c r="H3" s="124"/>
      <c r="I3" s="123"/>
      <c r="J3" s="123"/>
      <c r="K3" s="125"/>
      <c r="L3" s="125"/>
      <c r="M3" s="125"/>
      <c r="N3" s="126" t="s">
        <v>39</v>
      </c>
      <c r="O3" s="127"/>
      <c r="P3" s="123"/>
    </row>
    <row r="4" spans="1:17" x14ac:dyDescent="0.3">
      <c r="A4" s="3"/>
      <c r="B4" s="128"/>
      <c r="C4" s="128"/>
      <c r="D4" s="112"/>
      <c r="E4" s="112"/>
      <c r="F4" s="112"/>
      <c r="G4" s="112"/>
      <c r="H4" s="128"/>
      <c r="I4" s="128"/>
      <c r="J4" s="128"/>
      <c r="K4" s="129"/>
      <c r="L4" s="129"/>
      <c r="M4" s="129"/>
      <c r="N4" s="128"/>
      <c r="O4" s="128"/>
      <c r="P4" s="128"/>
    </row>
    <row r="5" spans="1:17" ht="13.5" customHeight="1" x14ac:dyDescent="0.3">
      <c r="A5" s="3"/>
      <c r="B5" s="13"/>
      <c r="C5" s="13"/>
      <c r="D5" s="16"/>
      <c r="E5" s="16"/>
      <c r="F5" s="16"/>
      <c r="G5" s="16"/>
      <c r="H5" s="16"/>
      <c r="I5" s="16"/>
      <c r="J5" s="16"/>
      <c r="K5" s="17"/>
      <c r="L5" s="17"/>
      <c r="M5" s="17"/>
      <c r="N5" s="16"/>
      <c r="O5" s="16"/>
      <c r="P5" s="16"/>
    </row>
    <row r="6" spans="1:17" ht="15" customHeight="1" x14ac:dyDescent="0.3">
      <c r="A6" s="112"/>
      <c r="B6" s="113"/>
      <c r="C6" s="113"/>
      <c r="D6" s="114"/>
      <c r="E6" s="114"/>
      <c r="F6" s="114"/>
      <c r="G6" s="114"/>
      <c r="H6" s="114"/>
      <c r="I6" s="114"/>
      <c r="J6" s="114"/>
      <c r="K6" s="220" t="s">
        <v>31</v>
      </c>
      <c r="L6" s="220"/>
      <c r="M6" s="220"/>
      <c r="N6" s="220"/>
      <c r="O6" s="220"/>
      <c r="P6" s="220"/>
    </row>
    <row r="7" spans="1:17" ht="64.5" customHeight="1" x14ac:dyDescent="0.3">
      <c r="A7" s="115" t="s">
        <v>200</v>
      </c>
      <c r="B7" s="115" t="s">
        <v>27</v>
      </c>
      <c r="C7" s="115" t="s">
        <v>201</v>
      </c>
      <c r="D7" s="115" t="s">
        <v>36</v>
      </c>
      <c r="E7" s="115" t="s">
        <v>96</v>
      </c>
      <c r="F7" s="115" t="s">
        <v>37</v>
      </c>
      <c r="G7" s="115" t="s">
        <v>28</v>
      </c>
      <c r="H7" s="115" t="s">
        <v>29</v>
      </c>
      <c r="I7" s="116" t="s">
        <v>40</v>
      </c>
      <c r="J7" s="116" t="s">
        <v>30</v>
      </c>
      <c r="K7" s="117" t="s">
        <v>32</v>
      </c>
      <c r="L7" s="117" t="s">
        <v>110</v>
      </c>
      <c r="M7" s="117" t="s">
        <v>88</v>
      </c>
      <c r="N7" s="118" t="s">
        <v>33</v>
      </c>
      <c r="O7" s="118" t="s">
        <v>34</v>
      </c>
      <c r="P7" s="119" t="s">
        <v>35</v>
      </c>
      <c r="Q7" s="131" t="s">
        <v>38</v>
      </c>
    </row>
    <row r="8" spans="1:17" ht="106.5" customHeight="1" x14ac:dyDescent="0.3">
      <c r="A8" s="4"/>
      <c r="B8" s="18"/>
      <c r="C8" s="18">
        <f>IFERROR(VLOOKUP(B8,DATOS!E:F,2,0),"-")</f>
        <v>0</v>
      </c>
      <c r="D8" s="4"/>
      <c r="E8" s="4" t="str">
        <f>IFERROR(VLOOKUP(D8,DATOS!G:H,2,0),"-")</f>
        <v>-</v>
      </c>
      <c r="F8" s="4"/>
      <c r="G8" s="18"/>
      <c r="H8" s="4"/>
      <c r="I8" s="4"/>
      <c r="J8" s="4"/>
      <c r="K8" s="5"/>
      <c r="L8" s="5"/>
      <c r="M8" s="5"/>
      <c r="N8" s="6"/>
      <c r="O8" s="6"/>
      <c r="P8" s="7"/>
      <c r="Q8" s="7"/>
    </row>
    <row r="9" spans="1:17" ht="162" customHeight="1" x14ac:dyDescent="0.3">
      <c r="A9" s="4"/>
      <c r="B9" s="4"/>
      <c r="C9" s="4"/>
      <c r="D9" s="4"/>
      <c r="E9" s="4"/>
      <c r="F9" s="4"/>
      <c r="G9" s="8"/>
      <c r="H9" s="4"/>
      <c r="I9" s="4"/>
      <c r="J9" s="4"/>
      <c r="K9" s="5"/>
      <c r="L9" s="5"/>
      <c r="M9" s="5"/>
      <c r="N9" s="6"/>
      <c r="O9" s="6"/>
      <c r="P9" s="7"/>
      <c r="Q9" s="7"/>
    </row>
    <row r="10" spans="1:17" ht="162" customHeight="1" x14ac:dyDescent="0.3">
      <c r="A10" s="4"/>
      <c r="B10" s="4"/>
      <c r="C10" s="4"/>
      <c r="D10" s="4"/>
      <c r="E10" s="4"/>
      <c r="F10" s="4"/>
      <c r="G10" s="8"/>
      <c r="H10" s="4"/>
      <c r="I10" s="4"/>
      <c r="J10" s="4"/>
      <c r="K10" s="5"/>
      <c r="L10" s="5"/>
      <c r="M10" s="5"/>
      <c r="N10" s="6"/>
      <c r="O10" s="6"/>
      <c r="P10" s="7"/>
      <c r="Q10" s="7"/>
    </row>
    <row r="11" spans="1:17" ht="123.75" customHeight="1" x14ac:dyDescent="0.3">
      <c r="A11" s="4"/>
      <c r="B11" s="4"/>
      <c r="C11" s="4"/>
      <c r="D11" s="4"/>
      <c r="E11" s="4"/>
      <c r="F11" s="4"/>
      <c r="G11" s="8"/>
      <c r="H11" s="4"/>
      <c r="I11" s="4"/>
      <c r="J11" s="4"/>
      <c r="K11" s="5"/>
      <c r="L11" s="5"/>
      <c r="M11" s="5"/>
      <c r="N11" s="6"/>
      <c r="O11" s="6"/>
      <c r="P11" s="7"/>
      <c r="Q11" s="7"/>
    </row>
    <row r="12" spans="1:17" ht="91.5" customHeight="1" x14ac:dyDescent="0.3">
      <c r="A12" s="4"/>
      <c r="B12" s="4"/>
      <c r="C12" s="4"/>
      <c r="D12" s="4"/>
      <c r="E12" s="4"/>
      <c r="F12" s="4"/>
      <c r="G12" s="8"/>
      <c r="H12" s="4"/>
      <c r="I12" s="4"/>
      <c r="J12" s="4"/>
      <c r="K12" s="5"/>
      <c r="L12" s="5"/>
      <c r="M12" s="5"/>
      <c r="N12" s="9"/>
      <c r="O12" s="6"/>
      <c r="P12" s="7"/>
      <c r="Q12" s="7"/>
    </row>
    <row r="13" spans="1:17" ht="122.25" customHeight="1" x14ac:dyDescent="0.3">
      <c r="A13" s="4"/>
      <c r="B13" s="4"/>
      <c r="C13" s="4"/>
      <c r="D13" s="4"/>
      <c r="E13" s="4"/>
      <c r="F13" s="4"/>
      <c r="G13" s="8"/>
      <c r="H13" s="4"/>
      <c r="I13" s="4"/>
      <c r="J13" s="4"/>
      <c r="K13" s="5"/>
      <c r="L13" s="5"/>
      <c r="M13" s="5"/>
      <c r="N13" s="9"/>
      <c r="O13" s="6"/>
      <c r="P13" s="7"/>
      <c r="Q13" s="7"/>
    </row>
    <row r="14" spans="1:17" x14ac:dyDescent="0.3">
      <c r="A14" s="10"/>
      <c r="B14" s="10"/>
      <c r="C14" s="10"/>
      <c r="D14" s="10"/>
      <c r="E14" s="10"/>
      <c r="F14" s="10"/>
      <c r="G14" s="10"/>
      <c r="H14" s="10"/>
      <c r="I14" s="10"/>
      <c r="J14" s="10"/>
      <c r="K14" s="11"/>
      <c r="L14" s="11"/>
      <c r="M14" s="11"/>
      <c r="N14" s="10"/>
      <c r="O14" s="10"/>
      <c r="P14" s="12"/>
      <c r="Q14" s="7"/>
    </row>
    <row r="15" spans="1:17" x14ac:dyDescent="0.3">
      <c r="A15" s="10"/>
      <c r="B15" s="10"/>
      <c r="C15" s="10"/>
      <c r="D15" s="10"/>
      <c r="E15" s="10"/>
      <c r="F15" s="10"/>
      <c r="G15" s="10"/>
      <c r="H15" s="10"/>
      <c r="I15" s="10"/>
      <c r="J15" s="10"/>
      <c r="K15" s="11"/>
      <c r="L15" s="11"/>
      <c r="M15" s="11"/>
      <c r="N15" s="10"/>
      <c r="O15" s="10"/>
      <c r="P15" s="12"/>
      <c r="Q15" s="7"/>
    </row>
    <row r="16" spans="1:17" x14ac:dyDescent="0.3">
      <c r="A16" s="10"/>
      <c r="B16" s="10"/>
      <c r="C16" s="10"/>
      <c r="D16" s="10"/>
      <c r="E16" s="10"/>
      <c r="F16" s="10"/>
      <c r="G16" s="10"/>
      <c r="H16" s="10"/>
      <c r="I16" s="10"/>
      <c r="J16" s="10"/>
      <c r="K16" s="11"/>
      <c r="L16" s="11"/>
      <c r="M16" s="11"/>
      <c r="N16" s="10"/>
      <c r="O16" s="10"/>
      <c r="P16" s="12"/>
      <c r="Q16" s="7"/>
    </row>
    <row r="17" spans="1:17" x14ac:dyDescent="0.3">
      <c r="A17" s="10"/>
      <c r="B17" s="10"/>
      <c r="C17" s="10"/>
      <c r="D17" s="10"/>
      <c r="E17" s="10"/>
      <c r="F17" s="10"/>
      <c r="G17" s="10"/>
      <c r="H17" s="10"/>
      <c r="I17" s="10"/>
      <c r="J17" s="10"/>
      <c r="K17" s="11"/>
      <c r="L17" s="11"/>
      <c r="M17" s="11"/>
      <c r="N17" s="10"/>
      <c r="O17" s="10"/>
      <c r="P17" s="12"/>
      <c r="Q17" s="7"/>
    </row>
    <row r="18" spans="1:17" x14ac:dyDescent="0.3">
      <c r="A18" s="10"/>
      <c r="B18" s="10"/>
      <c r="C18" s="10"/>
      <c r="D18" s="10"/>
      <c r="E18" s="10"/>
      <c r="F18" s="10"/>
      <c r="G18" s="10"/>
      <c r="H18" s="10"/>
      <c r="I18" s="10"/>
      <c r="J18" s="10"/>
      <c r="K18" s="11"/>
      <c r="L18" s="11"/>
      <c r="M18" s="11"/>
      <c r="N18" s="10"/>
      <c r="O18" s="10"/>
      <c r="P18" s="12"/>
      <c r="Q18" s="7"/>
    </row>
    <row r="19" spans="1:17" x14ac:dyDescent="0.3">
      <c r="A19" s="10"/>
      <c r="B19" s="10"/>
      <c r="C19" s="10"/>
      <c r="D19" s="10"/>
      <c r="E19" s="10"/>
      <c r="F19" s="10"/>
      <c r="G19" s="10"/>
      <c r="H19" s="10"/>
      <c r="I19" s="10"/>
      <c r="J19" s="10"/>
      <c r="K19" s="11"/>
      <c r="L19" s="11"/>
      <c r="M19" s="11"/>
      <c r="N19" s="10"/>
      <c r="O19" s="10"/>
      <c r="P19" s="12"/>
      <c r="Q19" s="7"/>
    </row>
    <row r="20" spans="1:17" x14ac:dyDescent="0.3">
      <c r="A20" s="20"/>
      <c r="B20" s="20"/>
      <c r="C20" s="20"/>
      <c r="D20" s="20"/>
      <c r="E20" s="20"/>
      <c r="F20" s="20"/>
      <c r="G20" s="20"/>
      <c r="H20" s="20"/>
      <c r="I20" s="20"/>
      <c r="J20" s="20"/>
      <c r="K20" s="21"/>
      <c r="L20" s="21"/>
      <c r="M20" s="21"/>
      <c r="N20" s="20"/>
      <c r="O20" s="20"/>
      <c r="P20" s="1"/>
      <c r="Q20" s="7"/>
    </row>
    <row r="21" spans="1:17" x14ac:dyDescent="0.3">
      <c r="A21" s="20"/>
      <c r="B21" s="20"/>
      <c r="C21" s="20"/>
      <c r="D21" s="20"/>
      <c r="E21" s="20"/>
      <c r="F21" s="20"/>
      <c r="G21" s="20"/>
      <c r="H21" s="20"/>
      <c r="I21" s="20"/>
      <c r="J21" s="20"/>
      <c r="K21" s="21"/>
      <c r="L21" s="21"/>
      <c r="M21" s="21"/>
      <c r="N21" s="20"/>
      <c r="O21" s="20"/>
      <c r="P21" s="1"/>
      <c r="Q21" s="7"/>
    </row>
    <row r="22" spans="1:17" x14ac:dyDescent="0.3">
      <c r="A22" s="20"/>
      <c r="B22" s="20"/>
      <c r="C22" s="20"/>
      <c r="D22" s="20"/>
      <c r="E22" s="20"/>
      <c r="F22" s="20"/>
      <c r="G22" s="20"/>
      <c r="H22" s="20"/>
      <c r="I22" s="20"/>
      <c r="J22" s="20"/>
      <c r="K22" s="21"/>
      <c r="L22" s="21"/>
      <c r="M22" s="21"/>
      <c r="N22" s="20"/>
      <c r="O22" s="20"/>
      <c r="P22" s="1"/>
      <c r="Q22" s="7"/>
    </row>
    <row r="23" spans="1:17" x14ac:dyDescent="0.3">
      <c r="A23" s="20"/>
      <c r="B23" s="20"/>
      <c r="C23" s="20"/>
      <c r="D23" s="20"/>
      <c r="E23" s="20"/>
      <c r="F23" s="20"/>
      <c r="G23" s="20"/>
      <c r="H23" s="20"/>
      <c r="I23" s="20"/>
      <c r="J23" s="20"/>
      <c r="K23" s="21"/>
      <c r="L23" s="21"/>
      <c r="M23" s="21"/>
      <c r="N23" s="20"/>
      <c r="O23" s="20"/>
      <c r="P23" s="1"/>
      <c r="Q23" s="7"/>
    </row>
    <row r="24" spans="1:17" x14ac:dyDescent="0.3">
      <c r="A24" s="20"/>
      <c r="B24" s="20"/>
      <c r="C24" s="20"/>
      <c r="D24" s="20"/>
      <c r="E24" s="20"/>
      <c r="F24" s="20"/>
      <c r="G24" s="20"/>
      <c r="H24" s="20"/>
      <c r="I24" s="20"/>
      <c r="J24" s="20"/>
      <c r="K24" s="21"/>
      <c r="L24" s="21"/>
      <c r="M24" s="21"/>
      <c r="N24" s="20"/>
      <c r="O24" s="20"/>
      <c r="P24" s="1"/>
      <c r="Q24" s="7"/>
    </row>
    <row r="25" spans="1:17" x14ac:dyDescent="0.3">
      <c r="A25" s="20"/>
      <c r="B25" s="20"/>
      <c r="C25" s="20"/>
      <c r="D25" s="20"/>
      <c r="E25" s="20"/>
      <c r="F25" s="20"/>
      <c r="G25" s="20"/>
      <c r="H25" s="20"/>
      <c r="I25" s="20"/>
      <c r="J25" s="20"/>
      <c r="K25" s="21"/>
      <c r="L25" s="21"/>
      <c r="M25" s="21"/>
      <c r="N25" s="20"/>
      <c r="O25" s="20"/>
      <c r="P25" s="1"/>
      <c r="Q25" s="7"/>
    </row>
    <row r="26" spans="1:17" x14ac:dyDescent="0.3">
      <c r="A26" s="20"/>
      <c r="B26" s="20"/>
      <c r="C26" s="20"/>
      <c r="D26" s="20"/>
      <c r="E26" s="20"/>
      <c r="F26" s="20"/>
      <c r="G26" s="20"/>
      <c r="H26" s="20"/>
      <c r="I26" s="20"/>
      <c r="J26" s="20"/>
      <c r="K26" s="21"/>
      <c r="L26" s="21"/>
      <c r="M26" s="21"/>
      <c r="N26" s="20"/>
      <c r="O26" s="20"/>
      <c r="P26" s="1"/>
      <c r="Q26" s="7"/>
    </row>
    <row r="27" spans="1:17" x14ac:dyDescent="0.3">
      <c r="A27" s="20"/>
      <c r="B27" s="20"/>
      <c r="C27" s="20"/>
      <c r="D27" s="20"/>
      <c r="E27" s="20"/>
      <c r="F27" s="20"/>
      <c r="G27" s="20"/>
      <c r="H27" s="20"/>
      <c r="I27" s="20"/>
      <c r="J27" s="20"/>
      <c r="K27" s="21"/>
      <c r="L27" s="21"/>
      <c r="M27" s="21"/>
      <c r="N27" s="20"/>
      <c r="O27" s="20"/>
      <c r="P27" s="1"/>
      <c r="Q27" s="7"/>
    </row>
    <row r="28" spans="1:17" x14ac:dyDescent="0.3">
      <c r="A28" s="20"/>
      <c r="B28" s="20"/>
      <c r="C28" s="20"/>
      <c r="D28" s="20"/>
      <c r="E28" s="20"/>
      <c r="F28" s="20"/>
      <c r="G28" s="20"/>
      <c r="H28" s="20"/>
      <c r="I28" s="20"/>
      <c r="J28" s="20"/>
      <c r="K28" s="21"/>
      <c r="L28" s="21"/>
      <c r="M28" s="21"/>
      <c r="N28" s="20"/>
      <c r="O28" s="20"/>
      <c r="P28" s="1"/>
      <c r="Q28" s="7"/>
    </row>
    <row r="29" spans="1:17" x14ac:dyDescent="0.3">
      <c r="A29" s="20"/>
      <c r="B29" s="20"/>
      <c r="C29" s="20"/>
      <c r="D29" s="20"/>
      <c r="E29" s="20"/>
      <c r="F29" s="20"/>
      <c r="G29" s="20"/>
      <c r="H29" s="20"/>
      <c r="I29" s="20"/>
      <c r="J29" s="20"/>
      <c r="K29" s="21"/>
      <c r="L29" s="21"/>
      <c r="M29" s="21"/>
      <c r="N29" s="20"/>
      <c r="O29" s="20"/>
      <c r="P29" s="1"/>
      <c r="Q29" s="7"/>
    </row>
    <row r="30" spans="1:17" x14ac:dyDescent="0.3">
      <c r="A30" s="20"/>
      <c r="B30" s="20"/>
      <c r="C30" s="20"/>
      <c r="D30" s="20"/>
      <c r="E30" s="20"/>
      <c r="F30" s="20"/>
      <c r="G30" s="20"/>
      <c r="H30" s="20"/>
      <c r="I30" s="20"/>
      <c r="J30" s="20"/>
      <c r="K30" s="21"/>
      <c r="L30" s="21"/>
      <c r="M30" s="21"/>
      <c r="N30" s="20"/>
      <c r="O30" s="20"/>
      <c r="P30" s="1"/>
      <c r="Q30" s="7"/>
    </row>
    <row r="31" spans="1:17" x14ac:dyDescent="0.3">
      <c r="A31" s="20"/>
      <c r="B31" s="20"/>
      <c r="C31" s="20"/>
      <c r="D31" s="20"/>
      <c r="E31" s="20"/>
      <c r="F31" s="20"/>
      <c r="G31" s="20"/>
      <c r="H31" s="20"/>
      <c r="I31" s="20"/>
      <c r="J31" s="20"/>
      <c r="K31" s="21"/>
      <c r="L31" s="21"/>
      <c r="M31" s="21"/>
      <c r="N31" s="20"/>
      <c r="O31" s="20"/>
      <c r="P31" s="1"/>
      <c r="Q31" s="7"/>
    </row>
    <row r="32" spans="1:17" x14ac:dyDescent="0.3">
      <c r="A32" s="20"/>
      <c r="B32" s="20"/>
      <c r="C32" s="20"/>
      <c r="D32" s="20"/>
      <c r="E32" s="20"/>
      <c r="F32" s="20"/>
      <c r="G32" s="20"/>
      <c r="H32" s="20"/>
      <c r="I32" s="20"/>
      <c r="J32" s="20"/>
      <c r="K32" s="21"/>
      <c r="L32" s="21"/>
      <c r="M32" s="21"/>
      <c r="N32" s="20"/>
      <c r="O32" s="20"/>
      <c r="P32" s="1"/>
      <c r="Q32" s="7"/>
    </row>
    <row r="33" spans="1:17" x14ac:dyDescent="0.3">
      <c r="A33" s="20"/>
      <c r="B33" s="20"/>
      <c r="C33" s="20"/>
      <c r="D33" s="20"/>
      <c r="E33" s="20"/>
      <c r="F33" s="20"/>
      <c r="G33" s="20"/>
      <c r="H33" s="20"/>
      <c r="I33" s="20"/>
      <c r="J33" s="20"/>
      <c r="K33" s="21"/>
      <c r="L33" s="21"/>
      <c r="M33" s="21"/>
      <c r="N33" s="20"/>
      <c r="O33" s="20"/>
      <c r="P33" s="1"/>
      <c r="Q33" s="7"/>
    </row>
    <row r="34" spans="1:17" x14ac:dyDescent="0.3">
      <c r="A34" s="20"/>
      <c r="B34" s="20"/>
      <c r="C34" s="20"/>
      <c r="D34" s="20"/>
      <c r="E34" s="20"/>
      <c r="F34" s="20"/>
      <c r="G34" s="20"/>
      <c r="H34" s="20"/>
      <c r="I34" s="20"/>
      <c r="J34" s="20"/>
      <c r="K34" s="21"/>
      <c r="L34" s="21"/>
      <c r="M34" s="21"/>
      <c r="N34" s="20"/>
      <c r="O34" s="20"/>
      <c r="P34" s="1"/>
      <c r="Q34" s="7"/>
    </row>
    <row r="35" spans="1:17" x14ac:dyDescent="0.3">
      <c r="A35" s="20"/>
      <c r="B35" s="20"/>
      <c r="C35" s="20"/>
      <c r="D35" s="20"/>
      <c r="E35" s="20"/>
      <c r="F35" s="20"/>
      <c r="G35" s="20"/>
      <c r="H35" s="20"/>
      <c r="I35" s="20"/>
      <c r="J35" s="20"/>
      <c r="K35" s="21"/>
      <c r="L35" s="21"/>
      <c r="M35" s="21"/>
      <c r="N35" s="20"/>
      <c r="O35" s="20"/>
      <c r="P35" s="1"/>
      <c r="Q35" s="7"/>
    </row>
    <row r="36" spans="1:17" x14ac:dyDescent="0.3">
      <c r="A36" s="20"/>
      <c r="B36" s="20"/>
      <c r="C36" s="20"/>
      <c r="D36" s="20"/>
      <c r="E36" s="20"/>
      <c r="F36" s="20"/>
      <c r="G36" s="20"/>
      <c r="H36" s="20"/>
      <c r="I36" s="20"/>
      <c r="J36" s="20"/>
      <c r="K36" s="21"/>
      <c r="L36" s="21"/>
      <c r="M36" s="21"/>
      <c r="N36" s="20"/>
      <c r="O36" s="20"/>
      <c r="P36" s="1"/>
      <c r="Q36" s="7"/>
    </row>
    <row r="37" spans="1:17" x14ac:dyDescent="0.3">
      <c r="A37" s="20"/>
      <c r="B37" s="20"/>
      <c r="C37" s="20"/>
      <c r="D37" s="20"/>
      <c r="E37" s="20"/>
      <c r="F37" s="20"/>
      <c r="G37" s="20"/>
      <c r="H37" s="20"/>
      <c r="I37" s="20"/>
      <c r="J37" s="20"/>
      <c r="K37" s="21"/>
      <c r="L37" s="21"/>
      <c r="M37" s="21"/>
      <c r="N37" s="20"/>
      <c r="O37" s="20"/>
      <c r="P37" s="1"/>
      <c r="Q37" s="7"/>
    </row>
    <row r="38" spans="1:17" x14ac:dyDescent="0.3">
      <c r="A38" s="20"/>
      <c r="B38" s="20"/>
      <c r="C38" s="20"/>
      <c r="D38" s="20"/>
      <c r="E38" s="20"/>
      <c r="F38" s="20"/>
      <c r="G38" s="20"/>
      <c r="H38" s="20"/>
      <c r="I38" s="20"/>
      <c r="J38" s="20"/>
      <c r="K38" s="21"/>
      <c r="L38" s="21"/>
      <c r="M38" s="21"/>
      <c r="N38" s="20"/>
      <c r="O38" s="20"/>
      <c r="P38" s="1"/>
      <c r="Q38" s="7"/>
    </row>
    <row r="39" spans="1:17" x14ac:dyDescent="0.3">
      <c r="A39" s="20"/>
      <c r="B39" s="20"/>
      <c r="C39" s="20"/>
      <c r="D39" s="20"/>
      <c r="E39" s="20"/>
      <c r="F39" s="20"/>
      <c r="G39" s="20"/>
      <c r="H39" s="20"/>
      <c r="I39" s="20"/>
      <c r="J39" s="20"/>
      <c r="K39" s="21"/>
      <c r="L39" s="21"/>
      <c r="M39" s="21"/>
      <c r="N39" s="20"/>
      <c r="O39" s="20"/>
      <c r="P39" s="1"/>
      <c r="Q39" s="7"/>
    </row>
    <row r="40" spans="1:17" x14ac:dyDescent="0.3">
      <c r="A40" s="20"/>
      <c r="B40" s="20"/>
      <c r="C40" s="20"/>
      <c r="D40" s="20"/>
      <c r="E40" s="20"/>
      <c r="F40" s="20"/>
      <c r="G40" s="20"/>
      <c r="H40" s="20"/>
      <c r="I40" s="20"/>
      <c r="J40" s="20"/>
      <c r="K40" s="21"/>
      <c r="L40" s="21"/>
      <c r="M40" s="21"/>
      <c r="N40" s="20"/>
      <c r="O40" s="20"/>
      <c r="P40" s="1"/>
      <c r="Q40" s="7"/>
    </row>
    <row r="41" spans="1:17" x14ac:dyDescent="0.3">
      <c r="A41" s="20"/>
      <c r="B41" s="20"/>
      <c r="C41" s="20"/>
      <c r="D41" s="20"/>
      <c r="E41" s="20"/>
      <c r="F41" s="20"/>
      <c r="G41" s="20"/>
      <c r="H41" s="20"/>
      <c r="I41" s="20"/>
      <c r="J41" s="20"/>
      <c r="K41" s="21"/>
      <c r="L41" s="21"/>
      <c r="M41" s="21"/>
      <c r="N41" s="20"/>
      <c r="O41" s="20"/>
      <c r="P41" s="1"/>
      <c r="Q41" s="7"/>
    </row>
    <row r="42" spans="1:17" x14ac:dyDescent="0.3">
      <c r="A42" s="20"/>
      <c r="B42" s="20"/>
      <c r="C42" s="20"/>
      <c r="D42" s="20"/>
      <c r="E42" s="20"/>
      <c r="F42" s="20"/>
      <c r="G42" s="20"/>
      <c r="H42" s="20"/>
      <c r="I42" s="20"/>
      <c r="J42" s="20"/>
      <c r="K42" s="21"/>
      <c r="L42" s="21"/>
      <c r="M42" s="21"/>
      <c r="N42" s="20"/>
      <c r="O42" s="20"/>
      <c r="P42" s="1"/>
      <c r="Q42" s="7"/>
    </row>
    <row r="43" spans="1:17" x14ac:dyDescent="0.3">
      <c r="A43" s="20"/>
      <c r="B43" s="20"/>
      <c r="C43" s="20"/>
      <c r="D43" s="20"/>
      <c r="E43" s="20"/>
      <c r="F43" s="20"/>
      <c r="G43" s="20"/>
      <c r="H43" s="20"/>
      <c r="I43" s="20"/>
      <c r="J43" s="20"/>
      <c r="K43" s="21"/>
      <c r="L43" s="21"/>
      <c r="M43" s="21"/>
      <c r="N43" s="20"/>
      <c r="O43" s="20"/>
      <c r="P43" s="1"/>
      <c r="Q43" s="7"/>
    </row>
    <row r="44" spans="1:17" x14ac:dyDescent="0.3">
      <c r="A44" s="20"/>
      <c r="B44" s="20"/>
      <c r="C44" s="20"/>
      <c r="D44" s="20"/>
      <c r="E44" s="20"/>
      <c r="F44" s="20"/>
      <c r="G44" s="20"/>
      <c r="H44" s="20"/>
      <c r="I44" s="20"/>
      <c r="J44" s="20"/>
      <c r="K44" s="21"/>
      <c r="L44" s="21"/>
      <c r="M44" s="21"/>
      <c r="N44" s="20"/>
      <c r="O44" s="20"/>
      <c r="P44" s="1"/>
      <c r="Q44" s="7"/>
    </row>
    <row r="45" spans="1:17" x14ac:dyDescent="0.3">
      <c r="A45" s="20"/>
      <c r="B45" s="20"/>
      <c r="C45" s="20"/>
      <c r="D45" s="20"/>
      <c r="E45" s="20"/>
      <c r="F45" s="20"/>
      <c r="G45" s="20"/>
      <c r="H45" s="20"/>
      <c r="I45" s="20"/>
      <c r="J45" s="20"/>
      <c r="K45" s="21"/>
      <c r="L45" s="21"/>
      <c r="M45" s="21"/>
      <c r="N45" s="20"/>
      <c r="O45" s="20"/>
      <c r="P45" s="1"/>
      <c r="Q45" s="7"/>
    </row>
    <row r="46" spans="1:17" x14ac:dyDescent="0.3">
      <c r="A46" s="20"/>
      <c r="B46" s="20"/>
      <c r="C46" s="20"/>
      <c r="D46" s="20"/>
      <c r="E46" s="20"/>
      <c r="F46" s="20"/>
      <c r="G46" s="20"/>
      <c r="H46" s="20"/>
      <c r="I46" s="20"/>
      <c r="J46" s="20"/>
      <c r="K46" s="21"/>
      <c r="L46" s="21"/>
      <c r="M46" s="21"/>
      <c r="N46" s="20"/>
      <c r="O46" s="20"/>
      <c r="P46" s="1"/>
      <c r="Q46" s="7"/>
    </row>
    <row r="47" spans="1:17" x14ac:dyDescent="0.3">
      <c r="A47" s="20"/>
      <c r="B47" s="20"/>
      <c r="C47" s="20"/>
      <c r="D47" s="20"/>
      <c r="E47" s="20"/>
      <c r="F47" s="20"/>
      <c r="G47" s="20"/>
      <c r="H47" s="20"/>
      <c r="I47" s="20"/>
      <c r="J47" s="20"/>
      <c r="K47" s="21"/>
      <c r="L47" s="21"/>
      <c r="M47" s="21"/>
      <c r="N47" s="20"/>
      <c r="O47" s="20"/>
      <c r="P47" s="1"/>
      <c r="Q47" s="7"/>
    </row>
    <row r="48" spans="1:17" x14ac:dyDescent="0.3">
      <c r="A48" s="20"/>
      <c r="B48" s="20"/>
      <c r="C48" s="20"/>
      <c r="D48" s="20"/>
      <c r="E48" s="20"/>
      <c r="F48" s="20"/>
      <c r="G48" s="20"/>
      <c r="H48" s="20"/>
      <c r="I48" s="20"/>
      <c r="J48" s="20"/>
      <c r="K48" s="21"/>
      <c r="L48" s="21"/>
      <c r="M48" s="21"/>
      <c r="N48" s="20"/>
      <c r="O48" s="20"/>
      <c r="P48" s="1"/>
      <c r="Q48" s="7"/>
    </row>
    <row r="49" spans="1:17" x14ac:dyDescent="0.3">
      <c r="A49" s="20"/>
      <c r="B49" s="20"/>
      <c r="C49" s="20"/>
      <c r="D49" s="20"/>
      <c r="E49" s="20"/>
      <c r="F49" s="20"/>
      <c r="G49" s="20"/>
      <c r="H49" s="20"/>
      <c r="I49" s="20"/>
      <c r="J49" s="20"/>
      <c r="K49" s="21"/>
      <c r="L49" s="21"/>
      <c r="M49" s="21"/>
      <c r="N49" s="20"/>
      <c r="O49" s="20"/>
      <c r="P49" s="1"/>
      <c r="Q49" s="7"/>
    </row>
    <row r="50" spans="1:17" x14ac:dyDescent="0.3">
      <c r="A50" s="20"/>
      <c r="B50" s="20"/>
      <c r="C50" s="20"/>
      <c r="D50" s="20"/>
      <c r="E50" s="20"/>
      <c r="F50" s="20"/>
      <c r="G50" s="20"/>
      <c r="H50" s="20"/>
      <c r="I50" s="20"/>
      <c r="J50" s="20"/>
      <c r="K50" s="21"/>
      <c r="L50" s="21"/>
      <c r="M50" s="21"/>
      <c r="N50" s="20"/>
      <c r="O50" s="20"/>
      <c r="P50" s="1"/>
      <c r="Q50" s="7"/>
    </row>
    <row r="51" spans="1:17" x14ac:dyDescent="0.3">
      <c r="A51" s="20"/>
      <c r="B51" s="20"/>
      <c r="C51" s="20"/>
      <c r="D51" s="20"/>
      <c r="E51" s="20"/>
      <c r="F51" s="20"/>
      <c r="G51" s="20"/>
      <c r="H51" s="20"/>
      <c r="I51" s="20"/>
      <c r="J51" s="20"/>
      <c r="K51" s="21"/>
      <c r="L51" s="21"/>
      <c r="M51" s="21"/>
      <c r="N51" s="20"/>
      <c r="O51" s="20"/>
      <c r="P51" s="1"/>
      <c r="Q51" s="7"/>
    </row>
    <row r="52" spans="1:17" x14ac:dyDescent="0.3">
      <c r="A52" s="20"/>
      <c r="B52" s="20"/>
      <c r="C52" s="20"/>
      <c r="D52" s="20"/>
      <c r="E52" s="20"/>
      <c r="F52" s="20"/>
      <c r="G52" s="20"/>
      <c r="H52" s="20"/>
      <c r="I52" s="20"/>
      <c r="J52" s="20"/>
      <c r="K52" s="21"/>
      <c r="L52" s="21"/>
      <c r="M52" s="21"/>
      <c r="N52" s="20"/>
      <c r="O52" s="20"/>
      <c r="P52" s="1"/>
      <c r="Q52" s="7"/>
    </row>
    <row r="53" spans="1:17" x14ac:dyDescent="0.3">
      <c r="A53" s="20"/>
      <c r="B53" s="20"/>
      <c r="C53" s="20"/>
      <c r="D53" s="20"/>
      <c r="E53" s="20"/>
      <c r="F53" s="20"/>
      <c r="G53" s="20"/>
      <c r="H53" s="20"/>
      <c r="I53" s="20"/>
      <c r="J53" s="20"/>
      <c r="K53" s="21"/>
      <c r="L53" s="21"/>
      <c r="M53" s="21"/>
      <c r="N53" s="20"/>
      <c r="O53" s="20"/>
      <c r="P53" s="1"/>
      <c r="Q53" s="7"/>
    </row>
    <row r="54" spans="1:17" x14ac:dyDescent="0.3">
      <c r="A54" s="20"/>
      <c r="B54" s="20"/>
      <c r="C54" s="20"/>
      <c r="D54" s="20"/>
      <c r="E54" s="20"/>
      <c r="F54" s="20"/>
      <c r="G54" s="20"/>
      <c r="H54" s="20"/>
      <c r="I54" s="20"/>
      <c r="J54" s="20"/>
      <c r="K54" s="21"/>
      <c r="L54" s="21"/>
      <c r="M54" s="21"/>
      <c r="N54" s="20"/>
      <c r="O54" s="20"/>
      <c r="P54" s="1"/>
      <c r="Q54" s="7"/>
    </row>
    <row r="55" spans="1:17" x14ac:dyDescent="0.3">
      <c r="A55" s="20"/>
      <c r="B55" s="20"/>
      <c r="C55" s="20"/>
      <c r="D55" s="20"/>
      <c r="E55" s="20"/>
      <c r="F55" s="20"/>
      <c r="G55" s="20"/>
      <c r="H55" s="20"/>
      <c r="I55" s="20"/>
      <c r="J55" s="20"/>
      <c r="K55" s="21"/>
      <c r="L55" s="21"/>
      <c r="M55" s="21"/>
      <c r="N55" s="20"/>
      <c r="O55" s="20"/>
      <c r="P55" s="1"/>
      <c r="Q55" s="7"/>
    </row>
    <row r="56" spans="1:17" x14ac:dyDescent="0.3">
      <c r="A56" s="20"/>
      <c r="B56" s="20"/>
      <c r="C56" s="20"/>
      <c r="D56" s="20"/>
      <c r="E56" s="20"/>
      <c r="F56" s="20"/>
      <c r="G56" s="20"/>
      <c r="H56" s="20"/>
      <c r="I56" s="20"/>
      <c r="J56" s="20"/>
      <c r="K56" s="21"/>
      <c r="L56" s="21"/>
      <c r="M56" s="21"/>
      <c r="N56" s="20"/>
      <c r="O56" s="20"/>
      <c r="P56" s="1"/>
      <c r="Q56" s="7"/>
    </row>
    <row r="57" spans="1:17" x14ac:dyDescent="0.3">
      <c r="A57" s="20"/>
      <c r="B57" s="20"/>
      <c r="C57" s="20"/>
      <c r="D57" s="20"/>
      <c r="E57" s="20"/>
      <c r="F57" s="20"/>
      <c r="G57" s="20"/>
      <c r="H57" s="20"/>
      <c r="I57" s="20"/>
      <c r="J57" s="20"/>
      <c r="K57" s="21"/>
      <c r="L57" s="21"/>
      <c r="M57" s="21"/>
      <c r="N57" s="20"/>
      <c r="O57" s="20"/>
      <c r="P57" s="1"/>
      <c r="Q57" s="7"/>
    </row>
    <row r="58" spans="1:17" x14ac:dyDescent="0.3">
      <c r="A58" s="20"/>
      <c r="B58" s="20"/>
      <c r="C58" s="20"/>
      <c r="D58" s="20"/>
      <c r="E58" s="20"/>
      <c r="F58" s="20"/>
      <c r="G58" s="20"/>
      <c r="H58" s="20"/>
      <c r="I58" s="20"/>
      <c r="J58" s="20"/>
      <c r="K58" s="21"/>
      <c r="L58" s="21"/>
      <c r="M58" s="21"/>
      <c r="N58" s="20"/>
      <c r="O58" s="20"/>
      <c r="P58" s="1"/>
      <c r="Q58" s="7"/>
    </row>
    <row r="59" spans="1:17" x14ac:dyDescent="0.3">
      <c r="A59" s="20"/>
      <c r="B59" s="20"/>
      <c r="C59" s="20"/>
      <c r="D59" s="20"/>
      <c r="E59" s="20"/>
      <c r="F59" s="20"/>
      <c r="G59" s="20"/>
      <c r="H59" s="20"/>
      <c r="I59" s="20"/>
      <c r="J59" s="20"/>
      <c r="K59" s="21"/>
      <c r="L59" s="21"/>
      <c r="M59" s="21"/>
      <c r="N59" s="20"/>
      <c r="O59" s="20"/>
      <c r="P59" s="1"/>
      <c r="Q59" s="7"/>
    </row>
    <row r="60" spans="1:17" x14ac:dyDescent="0.3">
      <c r="A60" s="20"/>
      <c r="B60" s="20"/>
      <c r="C60" s="20"/>
      <c r="D60" s="20"/>
      <c r="E60" s="20"/>
      <c r="F60" s="20"/>
      <c r="G60" s="20"/>
      <c r="H60" s="20"/>
      <c r="I60" s="20"/>
      <c r="J60" s="20"/>
      <c r="K60" s="21"/>
      <c r="L60" s="21"/>
      <c r="M60" s="21"/>
      <c r="N60" s="20"/>
      <c r="O60" s="20"/>
      <c r="P60" s="1"/>
      <c r="Q60" s="7"/>
    </row>
    <row r="61" spans="1:17" x14ac:dyDescent="0.3">
      <c r="A61" s="20"/>
      <c r="B61" s="20"/>
      <c r="C61" s="20"/>
      <c r="D61" s="20"/>
      <c r="E61" s="20"/>
      <c r="F61" s="20"/>
      <c r="G61" s="20"/>
      <c r="H61" s="20"/>
      <c r="I61" s="20"/>
      <c r="J61" s="20"/>
      <c r="K61" s="21"/>
      <c r="L61" s="21"/>
      <c r="M61" s="21"/>
      <c r="N61" s="20"/>
      <c r="O61" s="20"/>
      <c r="P61" s="1"/>
      <c r="Q61" s="7"/>
    </row>
    <row r="62" spans="1:17" x14ac:dyDescent="0.3">
      <c r="A62" s="20"/>
      <c r="B62" s="20"/>
      <c r="C62" s="20"/>
      <c r="D62" s="20"/>
      <c r="E62" s="20"/>
      <c r="F62" s="20"/>
      <c r="G62" s="20"/>
      <c r="H62" s="20"/>
      <c r="I62" s="20"/>
      <c r="J62" s="20"/>
      <c r="K62" s="21"/>
      <c r="L62" s="21"/>
      <c r="M62" s="21"/>
      <c r="N62" s="20"/>
      <c r="O62" s="20"/>
      <c r="P62" s="1"/>
      <c r="Q62" s="7"/>
    </row>
    <row r="63" spans="1:17" x14ac:dyDescent="0.3">
      <c r="A63" s="20"/>
      <c r="B63" s="20"/>
      <c r="C63" s="20"/>
      <c r="D63" s="20"/>
      <c r="E63" s="20"/>
      <c r="F63" s="20"/>
      <c r="G63" s="20"/>
      <c r="H63" s="20"/>
      <c r="I63" s="20"/>
      <c r="J63" s="20"/>
      <c r="K63" s="21"/>
      <c r="L63" s="21"/>
      <c r="M63" s="21"/>
      <c r="N63" s="20"/>
      <c r="O63" s="20"/>
      <c r="P63" s="1"/>
      <c r="Q63" s="7"/>
    </row>
    <row r="64" spans="1:17" x14ac:dyDescent="0.3">
      <c r="A64" s="20"/>
      <c r="B64" s="20"/>
      <c r="C64" s="20"/>
      <c r="D64" s="20"/>
      <c r="E64" s="20"/>
      <c r="F64" s="20"/>
      <c r="G64" s="20"/>
      <c r="H64" s="20"/>
      <c r="I64" s="20"/>
      <c r="J64" s="20"/>
      <c r="K64" s="21"/>
      <c r="L64" s="21"/>
      <c r="M64" s="21"/>
      <c r="N64" s="20"/>
      <c r="O64" s="20"/>
      <c r="P64" s="1"/>
      <c r="Q64" s="7"/>
    </row>
  </sheetData>
  <dataConsolidate/>
  <mergeCells count="1">
    <mergeCell ref="K6:P6"/>
  </mergeCells>
  <phoneticPr fontId="5" type="noConversion"/>
  <conditionalFormatting sqref="B8:C8">
    <cfRule type="duplicateValues" dxfId="17" priority="1"/>
    <cfRule type="duplicateValues" dxfId="16" priority="2"/>
    <cfRule type="duplicateValues" dxfId="15" priority="3"/>
    <cfRule type="duplicateValues" dxfId="14" priority="4"/>
    <cfRule type="duplicateValues" dxfId="13" priority="5"/>
  </conditionalFormatting>
  <conditionalFormatting sqref="G8">
    <cfRule type="duplicateValues" dxfId="12" priority="6"/>
    <cfRule type="duplicateValues" dxfId="11" priority="7"/>
    <cfRule type="duplicateValues" dxfId="10" priority="8"/>
    <cfRule type="duplicateValues" dxfId="9" priority="9"/>
    <cfRule type="duplicateValues" dxfId="8" priority="10"/>
  </conditionalFormatting>
  <dataValidations xWindow="1206" yWindow="474" count="10">
    <dataValidation allowBlank="1" showInputMessage="1" showErrorMessage="1" promptTitle="Item Descripción / Objeto a cont" prompt="Esta información debe coincidir con la registrada en el formato de PAA a modificar" sqref="H7:M7" xr:uid="{00000000-0002-0000-0300-000000000000}"/>
    <dataValidation type="list" allowBlank="1" showInputMessage="1" showErrorMessage="1" sqref="I9:I64" xr:uid="{00000000-0002-0000-0300-000001000000}">
      <formula1>"Crear,Aumentar,Reducir,Adicionar(contrato)"</formula1>
    </dataValidation>
    <dataValidation type="list" allowBlank="1" showInputMessage="1" showErrorMessage="1" sqref="E3 K24:M27 D9:D64 B9:B64" xr:uid="{00000000-0002-0000-0300-000002000000}">
      <formula1>#REF!</formula1>
    </dataValidation>
    <dataValidation allowBlank="1" showInputMessage="1" showErrorMessage="1" promptTitle="Fuente de los recursos" prompt="Registre la fuente de recursos del PAA del proyecto o rubro de funcionamiento que se requiere modificar." sqref="N7:P7" xr:uid="{00000000-0002-0000-0300-000003000000}"/>
    <dataValidation allowBlank="1" showInputMessage="1" showErrorMessage="1" prompt="Esta información debe coincidir con la registrada en el formato de PAA a modificar" sqref="B7:G7" xr:uid="{00000000-0002-0000-0300-000004000000}"/>
    <dataValidation type="list" allowBlank="1" showInputMessage="1" showErrorMessage="1" sqref="D65:E1048576" xr:uid="{00000000-0002-0000-0300-000005000000}">
      <formula1>INDIRECT(#REF!)</formula1>
    </dataValidation>
    <dataValidation type="list" allowBlank="1" showInputMessage="1" showErrorMessage="1" sqref="D1:E1" xr:uid="{00000000-0002-0000-0300-000006000000}">
      <formula1>"2021,2022"</formula1>
    </dataValidation>
    <dataValidation type="list" allowBlank="1" showInputMessage="1" showErrorMessage="1" sqref="F8:F64 D8" xr:uid="{00000000-0002-0000-0300-000007000000}">
      <formula1>INDIRECT(C8)</formula1>
    </dataValidation>
    <dataValidation type="list" allowBlank="1" showInputMessage="1" showErrorMessage="1" sqref="I8" xr:uid="{20513751-5F54-4600-A4B6-D608C8148A6C}">
      <formula1>"Crear,Aumentar,Reducir,Adicionar(contrato),Modificar,Eliminar"</formula1>
    </dataValidation>
    <dataValidation type="list" allowBlank="1" showInputMessage="1" showErrorMessage="1" sqref="C1" xr:uid="{2D29AEDF-F641-44DB-809C-07A1F27BEC53}">
      <formula1>"2023,2024,2025,2026,2027,2028,2029,2030"</formula1>
    </dataValidation>
  </dataValidations>
  <pageMargins left="0.70866141732283472" right="0.70866141732283472" top="0.74803149606299213" bottom="0.74803149606299213" header="0.31496062992125984" footer="0.31496062992125984"/>
  <pageSetup paperSize="14" scale="35" fitToHeight="0" orientation="landscape" verticalDpi="597" r:id="rId1"/>
  <headerFooter>
    <oddHeader>&amp;L&amp;G&amp;C&amp;"Arial,Negrita"FORMATO DE SOLICITUD DE RECURSOS&amp;R&amp;"Arial,Negrita"PLE-FO-06</oddHeader>
    <oddFooter>&amp;C&amp;"Arial,Normal"Favor imprimir a doble cara
Proceso: Plaeanción Estrategica PLE, Versión del formato , Página &amp;P, formato vigente desde: 16-11-2022 
Este documento es fiel copia del original, su impresión se considera copia no controlada.</oddFooter>
  </headerFooter>
  <legacyDrawingHF r:id="rId2"/>
  <extLst>
    <ext xmlns:x14="http://schemas.microsoft.com/office/spreadsheetml/2009/9/main" uri="{CCE6A557-97BC-4b89-ADB6-D9C93CAAB3DF}">
      <x14:dataValidations xmlns:xm="http://schemas.microsoft.com/office/excel/2006/main" xWindow="1206" yWindow="474" count="3">
        <x14:dataValidation type="list" allowBlank="1" showInputMessage="1" showErrorMessage="1" xr:uid="{00000000-0002-0000-0300-000008000000}">
          <x14:formula1>
            <xm:f>DATOS!$C$3:$C$14</xm:f>
          </x14:formula1>
          <xm:sqref>C3</xm:sqref>
        </x14:dataValidation>
        <x14:dataValidation type="list" allowBlank="1" showInputMessage="1" showErrorMessage="1" xr:uid="{00000000-0002-0000-0300-000009000000}">
          <x14:formula1>
            <xm:f>DATOS!$B$3:$B$15</xm:f>
          </x14:formula1>
          <xm:sqref>H3</xm:sqref>
        </x14:dataValidation>
        <x14:dataValidation type="list" allowBlank="1" showInputMessage="1" showErrorMessage="1" xr:uid="{D3EC4D08-8508-430D-B994-311CB407CAD8}">
          <x14:formula1>
            <xm:f>DATOS!$E$3:$E$9</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1"/>
  <sheetViews>
    <sheetView topLeftCell="B1" zoomScale="70" zoomScaleNormal="70" zoomScaleSheetLayoutView="70" workbookViewId="0">
      <selection activeCell="I2" sqref="I2"/>
    </sheetView>
  </sheetViews>
  <sheetFormatPr baseColWidth="10" defaultColWidth="11.44140625" defaultRowHeight="13.8" x14ac:dyDescent="0.25"/>
  <cols>
    <col min="1" max="1" width="28.44140625" style="23" customWidth="1"/>
    <col min="2" max="2" width="33.6640625" style="23" customWidth="1"/>
    <col min="3" max="3" width="17.44140625" style="23" customWidth="1"/>
    <col min="4" max="4" width="52.6640625" style="23" customWidth="1"/>
    <col min="5" max="5" width="25.88671875" style="23" customWidth="1"/>
    <col min="6" max="6" width="38.33203125" style="23" customWidth="1"/>
    <col min="7" max="7" width="30.33203125" style="23" customWidth="1"/>
    <col min="8" max="8" width="34.109375" style="23" customWidth="1"/>
    <col min="9" max="9" width="22" style="23" customWidth="1"/>
    <col min="10" max="10" width="20.5546875" style="23" customWidth="1"/>
    <col min="11" max="11" width="14.6640625" style="23" customWidth="1"/>
    <col min="12" max="12" width="28.44140625" style="23" customWidth="1"/>
    <col min="13" max="13" width="15.44140625" style="23" customWidth="1"/>
    <col min="14" max="14" width="21.88671875" style="23" customWidth="1"/>
    <col min="15" max="15" width="19.6640625" style="23" customWidth="1"/>
    <col min="16" max="16" width="34.5546875" style="23" customWidth="1"/>
    <col min="17" max="17" width="22.33203125" style="23" customWidth="1"/>
    <col min="18" max="18" width="21.33203125" style="23" customWidth="1"/>
    <col min="19" max="16384" width="11.44140625" style="23"/>
  </cols>
  <sheetData>
    <row r="1" spans="1:18" ht="46.5" customHeight="1" thickBot="1" x14ac:dyDescent="0.3">
      <c r="A1" s="224" t="s">
        <v>0</v>
      </c>
      <c r="B1" s="224"/>
      <c r="C1" s="224"/>
      <c r="D1" s="224"/>
      <c r="E1" s="224"/>
      <c r="F1" s="224"/>
      <c r="G1" s="224"/>
      <c r="H1" s="225"/>
      <c r="I1" s="225"/>
      <c r="J1" s="224"/>
      <c r="K1" s="224"/>
      <c r="L1" s="224"/>
      <c r="M1" s="224"/>
      <c r="N1" s="224"/>
      <c r="O1" s="224"/>
      <c r="P1" s="224"/>
      <c r="Q1" s="224"/>
      <c r="R1" s="224"/>
    </row>
    <row r="2" spans="1:18" ht="60.75" customHeight="1" thickBot="1" x14ac:dyDescent="0.3">
      <c r="A2" s="226" t="s">
        <v>1</v>
      </c>
      <c r="B2" s="227"/>
      <c r="C2" s="227"/>
      <c r="D2" s="227"/>
      <c r="E2" s="227"/>
      <c r="F2" s="227"/>
      <c r="G2" s="227"/>
      <c r="H2" s="227"/>
      <c r="I2" s="132">
        <v>2023</v>
      </c>
      <c r="J2" s="228"/>
      <c r="K2" s="228"/>
      <c r="L2" s="228"/>
      <c r="M2" s="228"/>
      <c r="N2" s="228"/>
      <c r="O2" s="228"/>
      <c r="P2" s="228"/>
      <c r="Q2" s="228"/>
      <c r="R2" s="229"/>
    </row>
    <row r="3" spans="1:18" x14ac:dyDescent="0.25">
      <c r="A3" s="27"/>
      <c r="B3" s="28"/>
      <c r="C3" s="28"/>
      <c r="D3" s="28"/>
      <c r="E3" s="28"/>
      <c r="F3" s="28"/>
      <c r="G3" s="28"/>
      <c r="H3" s="28"/>
      <c r="I3" s="28"/>
      <c r="J3" s="28"/>
      <c r="K3" s="28"/>
      <c r="L3" s="28"/>
      <c r="M3" s="28"/>
      <c r="N3" s="28"/>
      <c r="O3" s="28"/>
      <c r="P3" s="28"/>
      <c r="Q3" s="28"/>
      <c r="R3" s="29"/>
    </row>
    <row r="4" spans="1:18" ht="18" customHeight="1" x14ac:dyDescent="0.25">
      <c r="A4" s="30"/>
      <c r="B4" s="31"/>
      <c r="C4" s="31"/>
      <c r="D4" s="31"/>
      <c r="E4" s="32"/>
      <c r="F4" s="28"/>
      <c r="G4" s="33"/>
      <c r="H4" s="33"/>
      <c r="I4" s="33"/>
      <c r="J4" s="33"/>
      <c r="R4" s="24"/>
    </row>
    <row r="5" spans="1:18" ht="53.7" customHeight="1" x14ac:dyDescent="0.25">
      <c r="A5" s="221" t="s">
        <v>2</v>
      </c>
      <c r="B5" s="222"/>
      <c r="C5" s="222"/>
      <c r="D5" s="223"/>
      <c r="E5" s="34" t="s">
        <v>26</v>
      </c>
      <c r="F5" s="28"/>
      <c r="G5" s="33"/>
      <c r="H5" s="33" t="s">
        <v>3</v>
      </c>
      <c r="I5" s="33" t="s">
        <v>26</v>
      </c>
      <c r="J5" s="33"/>
      <c r="R5" s="24"/>
    </row>
    <row r="6" spans="1:18" ht="14.4" thickBot="1" x14ac:dyDescent="0.3">
      <c r="A6" s="35"/>
      <c r="B6" s="135"/>
      <c r="C6" s="36"/>
      <c r="D6" s="36"/>
      <c r="E6" s="37"/>
      <c r="F6" s="37"/>
      <c r="G6" s="36"/>
      <c r="H6" s="37"/>
      <c r="I6" s="37"/>
      <c r="J6" s="37"/>
      <c r="K6" s="38"/>
      <c r="L6" s="38"/>
      <c r="M6" s="37"/>
      <c r="N6" s="37"/>
      <c r="O6" s="37"/>
      <c r="P6" s="37"/>
      <c r="Q6" s="37"/>
      <c r="R6" s="39"/>
    </row>
    <row r="7" spans="1:18" ht="14.4" thickBot="1" x14ac:dyDescent="0.3">
      <c r="A7" s="30"/>
      <c r="B7" s="31"/>
      <c r="C7" s="28"/>
      <c r="D7" s="28"/>
      <c r="E7" s="28"/>
      <c r="F7" s="28"/>
      <c r="G7" s="15"/>
      <c r="H7" s="40"/>
      <c r="I7" s="40"/>
      <c r="J7" s="40"/>
      <c r="K7" s="28"/>
      <c r="L7" s="28"/>
      <c r="M7" s="28"/>
      <c r="N7" s="40"/>
      <c r="O7" s="40"/>
      <c r="P7" s="40"/>
      <c r="Q7" s="40"/>
      <c r="R7" s="41"/>
    </row>
    <row r="8" spans="1:18" ht="35.4" customHeight="1" x14ac:dyDescent="0.25">
      <c r="A8" s="42" t="s">
        <v>20</v>
      </c>
      <c r="B8" s="43"/>
      <c r="C8" s="43"/>
      <c r="D8" s="43"/>
      <c r="E8" s="43"/>
      <c r="F8" s="43"/>
      <c r="G8" s="43"/>
      <c r="H8" s="43"/>
      <c r="I8" s="43"/>
      <c r="J8" s="43"/>
      <c r="K8" s="43"/>
      <c r="L8" s="43"/>
      <c r="M8" s="43"/>
      <c r="N8" s="43"/>
      <c r="O8" s="43"/>
      <c r="P8" s="43"/>
      <c r="Q8" s="43"/>
      <c r="R8" s="44"/>
    </row>
    <row r="9" spans="1:18" s="25" customFormat="1" ht="92.25" customHeight="1" x14ac:dyDescent="0.25">
      <c r="A9" s="45" t="s">
        <v>25</v>
      </c>
      <c r="B9" s="151" t="s">
        <v>202</v>
      </c>
      <c r="C9" s="230" t="s">
        <v>5</v>
      </c>
      <c r="D9" s="230"/>
      <c r="E9" s="230" t="s">
        <v>6</v>
      </c>
      <c r="F9" s="230"/>
      <c r="G9" s="45" t="s">
        <v>7</v>
      </c>
      <c r="H9" s="45" t="s">
        <v>8</v>
      </c>
      <c r="I9" s="45" t="s">
        <v>9</v>
      </c>
      <c r="J9" s="45" t="s">
        <v>10</v>
      </c>
      <c r="K9" s="45" t="s">
        <v>4</v>
      </c>
      <c r="L9" s="45" t="s">
        <v>11</v>
      </c>
      <c r="M9" s="45" t="s">
        <v>12</v>
      </c>
      <c r="N9" s="45" t="s">
        <v>13</v>
      </c>
      <c r="O9" s="45" t="s">
        <v>14</v>
      </c>
      <c r="P9" s="45" t="s">
        <v>15</v>
      </c>
      <c r="Q9" s="230" t="s">
        <v>16</v>
      </c>
      <c r="R9" s="230"/>
    </row>
    <row r="10" spans="1:18" ht="42.75" customHeight="1" x14ac:dyDescent="0.25">
      <c r="A10" s="14"/>
      <c r="B10" s="134"/>
      <c r="C10" s="240"/>
      <c r="D10" s="241"/>
      <c r="E10" s="244"/>
      <c r="F10" s="245"/>
      <c r="G10" s="26"/>
      <c r="H10" s="46"/>
      <c r="I10" s="46"/>
      <c r="J10" s="26"/>
      <c r="K10" s="46"/>
      <c r="L10" s="26"/>
      <c r="M10" s="26"/>
      <c r="N10" s="26"/>
      <c r="O10" s="47"/>
      <c r="P10" s="26"/>
      <c r="Q10" s="246"/>
      <c r="R10" s="247"/>
    </row>
    <row r="11" spans="1:18" ht="39.450000000000003" customHeight="1" x14ac:dyDescent="0.25">
      <c r="A11" s="48"/>
      <c r="B11" s="133"/>
      <c r="C11" s="242"/>
      <c r="D11" s="243"/>
      <c r="E11" s="242"/>
      <c r="F11" s="243"/>
      <c r="G11" s="48"/>
      <c r="H11" s="48"/>
      <c r="I11" s="48"/>
      <c r="J11" s="48"/>
      <c r="K11" s="48"/>
      <c r="L11" s="48"/>
      <c r="M11" s="48"/>
      <c r="N11" s="48"/>
      <c r="O11" s="48"/>
      <c r="P11" s="48"/>
      <c r="Q11" s="242"/>
      <c r="R11" s="243"/>
    </row>
    <row r="12" spans="1:18" ht="39.450000000000003" customHeight="1" x14ac:dyDescent="0.25">
      <c r="A12" s="48"/>
      <c r="B12" s="133"/>
      <c r="C12" s="242"/>
      <c r="D12" s="243"/>
      <c r="E12" s="242"/>
      <c r="F12" s="243"/>
      <c r="G12" s="48"/>
      <c r="H12" s="48"/>
      <c r="I12" s="48"/>
      <c r="J12" s="48"/>
      <c r="K12" s="48"/>
      <c r="L12" s="48"/>
      <c r="M12" s="48"/>
      <c r="N12" s="48"/>
      <c r="O12" s="48"/>
      <c r="P12" s="48"/>
      <c r="Q12" s="242"/>
      <c r="R12" s="243"/>
    </row>
    <row r="13" spans="1:18" ht="39.450000000000003" customHeight="1" x14ac:dyDescent="0.25">
      <c r="A13" s="48"/>
      <c r="B13" s="133"/>
      <c r="C13" s="242"/>
      <c r="D13" s="243"/>
      <c r="E13" s="242"/>
      <c r="F13" s="243"/>
      <c r="G13" s="48"/>
      <c r="H13" s="48"/>
      <c r="I13" s="48"/>
      <c r="J13" s="48"/>
      <c r="K13" s="48"/>
      <c r="L13" s="48"/>
      <c r="M13" s="48"/>
      <c r="N13" s="48"/>
      <c r="O13" s="48"/>
      <c r="P13" s="48"/>
      <c r="Q13" s="242"/>
      <c r="R13" s="243"/>
    </row>
    <row r="14" spans="1:18" ht="39.450000000000003" customHeight="1" x14ac:dyDescent="0.25">
      <c r="A14" s="48"/>
      <c r="B14" s="133"/>
      <c r="C14" s="242"/>
      <c r="D14" s="243"/>
      <c r="E14" s="242"/>
      <c r="F14" s="243"/>
      <c r="G14" s="48"/>
      <c r="H14" s="48"/>
      <c r="I14" s="48"/>
      <c r="J14" s="48"/>
      <c r="K14" s="48"/>
      <c r="L14" s="48"/>
      <c r="M14" s="48"/>
      <c r="N14" s="48"/>
      <c r="O14" s="48"/>
      <c r="P14" s="48"/>
      <c r="Q14" s="242"/>
      <c r="R14" s="243"/>
    </row>
    <row r="15" spans="1:18" ht="39.450000000000003" customHeight="1" x14ac:dyDescent="0.25">
      <c r="A15" s="15"/>
      <c r="B15" s="15"/>
      <c r="C15" s="15"/>
      <c r="D15" s="15"/>
      <c r="E15" s="15"/>
      <c r="F15" s="15"/>
      <c r="G15" s="15"/>
      <c r="H15" s="15"/>
      <c r="I15" s="15"/>
      <c r="J15" s="15"/>
      <c r="K15" s="15"/>
      <c r="L15" s="15"/>
      <c r="M15" s="15"/>
      <c r="N15" s="15"/>
      <c r="O15" s="15"/>
      <c r="P15" s="15"/>
      <c r="Q15" s="15"/>
      <c r="R15" s="49"/>
    </row>
    <row r="16" spans="1:18" ht="15" customHeight="1" x14ac:dyDescent="0.25">
      <c r="A16" s="231"/>
      <c r="B16" s="231"/>
      <c r="C16" s="231"/>
      <c r="D16" s="231"/>
      <c r="E16" s="231"/>
      <c r="F16" s="28"/>
      <c r="G16" s="28"/>
      <c r="H16" s="28"/>
      <c r="I16" s="28"/>
      <c r="J16" s="28"/>
      <c r="K16" s="28"/>
      <c r="L16" s="28"/>
      <c r="M16" s="28"/>
      <c r="N16" s="28"/>
      <c r="O16" s="234" t="s">
        <v>17</v>
      </c>
      <c r="P16" s="235"/>
      <c r="Q16" s="236"/>
      <c r="R16" s="232" t="s">
        <v>18</v>
      </c>
    </row>
    <row r="17" spans="1:18" ht="26.4" customHeight="1" x14ac:dyDescent="0.25">
      <c r="A17" s="231"/>
      <c r="B17" s="231"/>
      <c r="C17" s="231"/>
      <c r="D17" s="50"/>
      <c r="E17" s="50"/>
      <c r="F17" s="51"/>
      <c r="G17" s="45" t="s">
        <v>90</v>
      </c>
      <c r="H17" s="45"/>
      <c r="I17" s="45" t="s">
        <v>19</v>
      </c>
      <c r="J17" s="45" t="s">
        <v>19</v>
      </c>
      <c r="K17" s="51"/>
      <c r="L17" s="51"/>
      <c r="M17" s="28"/>
      <c r="N17" s="28"/>
      <c r="O17" s="45" t="s">
        <v>91</v>
      </c>
      <c r="P17" s="45"/>
      <c r="Q17" s="45" t="s">
        <v>19</v>
      </c>
      <c r="R17" s="233"/>
    </row>
    <row r="18" spans="1:18" ht="41.25" customHeight="1" x14ac:dyDescent="0.25">
      <c r="A18" s="239"/>
      <c r="B18" s="239"/>
      <c r="C18" s="239"/>
      <c r="D18" s="239"/>
      <c r="E18" s="239"/>
      <c r="F18" s="52"/>
      <c r="G18" s="53" t="s">
        <v>21</v>
      </c>
      <c r="H18" s="53"/>
      <c r="I18" s="54"/>
      <c r="J18" s="54"/>
      <c r="K18" s="51"/>
      <c r="L18" s="52"/>
      <c r="M18" s="28"/>
      <c r="N18" s="28"/>
      <c r="O18" s="237" t="s">
        <v>89</v>
      </c>
      <c r="P18" s="237"/>
      <c r="Q18" s="237"/>
      <c r="R18" s="238"/>
    </row>
    <row r="19" spans="1:18" ht="35.4" customHeight="1" x14ac:dyDescent="0.25">
      <c r="A19" s="239"/>
      <c r="B19" s="239"/>
      <c r="C19" s="239"/>
      <c r="D19" s="239"/>
      <c r="E19" s="239"/>
      <c r="F19" s="52"/>
      <c r="G19" s="53" t="s">
        <v>22</v>
      </c>
      <c r="H19" s="53"/>
      <c r="I19" s="54"/>
      <c r="J19" s="54"/>
      <c r="K19" s="51"/>
      <c r="L19" s="52"/>
      <c r="M19" s="28"/>
      <c r="N19" s="28"/>
      <c r="O19" s="237"/>
      <c r="P19" s="237"/>
      <c r="Q19" s="237"/>
      <c r="R19" s="238"/>
    </row>
    <row r="20" spans="1:18" ht="19.2" customHeight="1" x14ac:dyDescent="0.25">
      <c r="A20" s="239"/>
      <c r="B20" s="239"/>
      <c r="C20" s="239"/>
      <c r="D20" s="239"/>
      <c r="E20" s="239"/>
      <c r="F20" s="52"/>
      <c r="G20" s="52"/>
      <c r="H20" s="52"/>
      <c r="I20" s="52"/>
      <c r="J20" s="52"/>
      <c r="K20" s="52"/>
      <c r="L20" s="52"/>
      <c r="M20" s="28"/>
      <c r="N20" s="28"/>
      <c r="O20" s="237"/>
      <c r="P20" s="237"/>
      <c r="Q20" s="237"/>
      <c r="R20" s="238"/>
    </row>
    <row r="21" spans="1:18" ht="14.4" thickBot="1" x14ac:dyDescent="0.3">
      <c r="A21" s="55"/>
      <c r="B21" s="38"/>
      <c r="C21" s="38"/>
      <c r="D21" s="38"/>
      <c r="E21" s="38"/>
      <c r="F21" s="38"/>
      <c r="G21" s="38"/>
      <c r="H21" s="38"/>
      <c r="I21" s="38"/>
      <c r="J21" s="38"/>
      <c r="K21" s="38"/>
      <c r="L21" s="38"/>
      <c r="M21" s="38"/>
      <c r="N21" s="38"/>
      <c r="O21" s="38"/>
      <c r="P21" s="38"/>
      <c r="Q21" s="38"/>
      <c r="R21" s="56"/>
    </row>
  </sheetData>
  <dataConsolidate/>
  <mergeCells count="32">
    <mergeCell ref="Q10:R10"/>
    <mergeCell ref="Q11:R11"/>
    <mergeCell ref="Q12:R12"/>
    <mergeCell ref="Q13:R13"/>
    <mergeCell ref="Q14:R14"/>
    <mergeCell ref="E10:F10"/>
    <mergeCell ref="E11:F11"/>
    <mergeCell ref="E12:F12"/>
    <mergeCell ref="E13:F13"/>
    <mergeCell ref="E14:F14"/>
    <mergeCell ref="C10:D10"/>
    <mergeCell ref="C11:D11"/>
    <mergeCell ref="C12:D12"/>
    <mergeCell ref="C13:D13"/>
    <mergeCell ref="C14:D14"/>
    <mergeCell ref="A16:E16"/>
    <mergeCell ref="R16:R17"/>
    <mergeCell ref="A17:C17"/>
    <mergeCell ref="O16:Q16"/>
    <mergeCell ref="O18:P20"/>
    <mergeCell ref="Q18:Q20"/>
    <mergeCell ref="R18:R20"/>
    <mergeCell ref="A18:C20"/>
    <mergeCell ref="D18:D20"/>
    <mergeCell ref="E18:E20"/>
    <mergeCell ref="A5:D5"/>
    <mergeCell ref="A1:R1"/>
    <mergeCell ref="A2:H2"/>
    <mergeCell ref="J2:R2"/>
    <mergeCell ref="C9:D9"/>
    <mergeCell ref="E9:F9"/>
    <mergeCell ref="Q9:R9"/>
  </mergeCells>
  <conditionalFormatting sqref="A18:B18">
    <cfRule type="cellIs" dxfId="7" priority="15" operator="greaterThan">
      <formula>1</formula>
    </cfRule>
  </conditionalFormatting>
  <conditionalFormatting sqref="D18:E18">
    <cfRule type="cellIs" dxfId="6" priority="6" operator="greaterThan">
      <formula>1</formula>
    </cfRule>
  </conditionalFormatting>
  <conditionalFormatting sqref="E5">
    <cfRule type="cellIs" dxfId="5" priority="1" operator="greaterThan">
      <formula>0</formula>
    </cfRule>
  </conditionalFormatting>
  <conditionalFormatting sqref="G18:G19">
    <cfRule type="cellIs" dxfId="4" priority="7" operator="greaterThan">
      <formula>1</formula>
    </cfRule>
  </conditionalFormatting>
  <conditionalFormatting sqref="I2">
    <cfRule type="cellIs" dxfId="3" priority="12" operator="greaterThan">
      <formula>0</formula>
    </cfRule>
  </conditionalFormatting>
  <conditionalFormatting sqref="I5">
    <cfRule type="cellIs" dxfId="2" priority="16" operator="greaterThan">
      <formula>0</formula>
    </cfRule>
  </conditionalFormatting>
  <conditionalFormatting sqref="I18:I19">
    <cfRule type="cellIs" dxfId="1" priority="8" operator="greaterThan">
      <formula>1</formula>
    </cfRule>
  </conditionalFormatting>
  <conditionalFormatting sqref="O18">
    <cfRule type="cellIs" dxfId="0" priority="4" operator="greaterThan">
      <formula>1</formula>
    </cfRule>
  </conditionalFormatting>
  <dataValidations xWindow="104" yWindow="521" count="25">
    <dataValidation allowBlank="1" showInputMessage="1" showErrorMessage="1" promptTitle="Item" prompt="Corresponde al número de la fila en la que se ubica la adquisición en el SECOP_x000a_" sqref="A9" xr:uid="{00000000-0002-0000-0400-000000000000}"/>
    <dataValidation allowBlank="1" showInputMessage="1" showErrorMessage="1" promptTitle="Estado de solicitud de Vigencias" prompt="Despliegue la flecha y seleccione el estado en el que se encuentra la solicitud de las vigencias futuras." sqref="O9" xr:uid="{00000000-0002-0000-0400-000001000000}"/>
    <dataValidation allowBlank="1" showInputMessage="1" showErrorMessage="1" promptTitle="Nombre del responsable" prompt="Registre el nombre completo del responsable de la contratación " sqref="P9" xr:uid="{00000000-0002-0000-0400-000002000000}"/>
    <dataValidation allowBlank="1" showInputMessage="1" showErrorMessage="1" promptTitle="Correo electrónico" prompt="Registre el correo electrónico del responsable de la contratación " sqref="Q9" xr:uid="{00000000-0002-0000-0400-000003000000}"/>
    <dataValidation allowBlank="1" showInputMessage="1" showErrorMessage="1" promptTitle="¿Se requieren vigencias futuras?" prompt="Despliegue la flecha y seleccione la opción &quot;SI&quot; si se requieren vigencias Futuras para financiar el objeto contractual &quot;Descripción&quot; o &quot;NO&quot; si no se requieren vigencias futuras" sqref="N9" xr:uid="{00000000-0002-0000-0400-000004000000}"/>
    <dataValidation allowBlank="1" showInputMessage="1" showErrorMessage="1" promptTitle="Fuente_de_los_recursos" prompt="Despliegue la flecha y elija la opción de acuerdo con la fuente de los recursos._x000a_Propios - 20 Ingresos corrientes_x000a_Propios - 21 Otros recursos de tesorería_x000a_Nación 10 - Recursos Corrientes" sqref="K9" xr:uid="{00000000-0002-0000-0400-000005000000}"/>
    <dataValidation allowBlank="1" showInputMessage="1" showErrorMessage="1" promptTitle="Modalidad de selección" prompt="Despliegue la flecha y seleccione la Modalidad de selección de acuerdo con la contratación a realizar." sqref="J9" xr:uid="{00000000-0002-0000-0400-000006000000}"/>
    <dataValidation allowBlank="1" showInputMessage="1" showErrorMessage="1" promptTitle="Duración estimada del contrato" prompt="Número de meses_x000a_Registre en número entero la duración del contrato. _x000a__x000a_Si no corresponde a meses completos, por favor aproxime al anterior número entero." sqref="I9" xr:uid="{00000000-0002-0000-0400-000007000000}"/>
    <dataValidation allowBlank="1" showInputMessage="1" showErrorMessage="1" promptTitle="Mes Estimado de inicio - proceso" prompt="Despliegue el listado y seleccione el mes en el que se espera iniciar el proceso contractual." sqref="G9" xr:uid="{00000000-0002-0000-0400-000008000000}"/>
    <dataValidation allowBlank="1" showInputMessage="1" showErrorMessage="1" promptTitle="Valor del contrato" prompt="Registre el valor total estimado del contrato " sqref="L9" xr:uid="{00000000-0002-0000-0400-000009000000}"/>
    <dataValidation allowBlank="1" showInputMessage="1" showErrorMessage="1" promptTitle="Descripción" prompt="Esta información debe coincidir con la registrada en el formato de PAA a modificar" sqref="E9:F9" xr:uid="{00000000-0002-0000-0400-00000A000000}"/>
    <dataValidation allowBlank="1" showInputMessage="1" showErrorMessage="1" promptTitle="Códigos UNSPSC" prompt="Bienes, obras y servicios deben ser identificados con códigos UNSPSC. _x000a__x000a_Se deben incluir todos los códigos que identifiquen al servicio a contratar y/o producto a adquirir, separados por punto y coma sin espacio._x000a__x000a_" sqref="C9:D9" xr:uid="{00000000-0002-0000-0400-00000B000000}"/>
    <dataValidation type="list" allowBlank="1" showInputMessage="1" showErrorMessage="1" errorTitle="Seleccione" error="Despliegue la flecha y seleccione la opción que aplique." promptTitle="Seleccione" prompt="Despliegue la flecha y seleccione la opción " sqref="I5" xr:uid="{00000000-0002-0000-0400-00000C000000}">
      <formula1>"SI,N0,N/A"</formula1>
    </dataValidation>
    <dataValidation allowBlank="1" showInputMessage="1" showErrorMessage="1" promptTitle="Cargo quien revisa" prompt="Registre el cargo de quien revisa la solicitud de modificación del Plan Anual de adquisiciones, de acuerdo con el nombre registrado en la celda anterior" sqref="G18:G19" xr:uid="{00000000-0002-0000-0400-00000D000000}"/>
    <dataValidation type="list" allowBlank="1" showInputMessage="1" showErrorMessage="1" sqref="I10" xr:uid="{00000000-0002-0000-0400-00000E000000}">
      <formula1>fuentes</formula1>
    </dataValidation>
    <dataValidation type="list" allowBlank="1" showInputMessage="1" showErrorMessage="1" sqref="H10" xr:uid="{00000000-0002-0000-0400-00000F000000}">
      <formula1>modal</formula1>
    </dataValidation>
    <dataValidation allowBlank="1" showInputMessage="1" showErrorMessage="1" errorTitle="Estado Vigencias futuras" error="Despliegue la Flecha y seleccione la opción" sqref="O10" xr:uid="{00000000-0002-0000-0400-000010000000}"/>
    <dataValidation type="list" allowBlank="1" showInputMessage="1" showErrorMessage="1" errorTitle="Vigencia" error="Despliegue la flecha y seleccione el año de la vigencia del Plan Anual de Adquisiciones." promptTitle="Vigencia" prompt="Despliegue la flecha y seleccione el año de la vigencia del Plan Anual de Adquisiciones." sqref="I2" xr:uid="{00000000-0002-0000-0400-000011000000}">
      <formula1>"2019,2020,2021,2022,2023,2024,2025,2026,2027,2028,2029,2030"</formula1>
    </dataValidation>
    <dataValidation allowBlank="1" showInputMessage="1" showErrorMessage="1" promptTitle="Valor estimado en la vigencia" prompt="Registre el valor del contrato durante la vigencia en curso" sqref="M9" xr:uid="{00000000-0002-0000-0400-000012000000}"/>
    <dataValidation allowBlank="1" showInputMessage="1" showErrorMessage="1" promptTitle="Mes Est de Presentación ofertas" prompt="Despliegue el listado y seleccione el mes en el que se espera la presentación de ofertas." sqref="H9" xr:uid="{00000000-0002-0000-0400-000013000000}"/>
    <dataValidation allowBlank="1" showInputMessage="1" showErrorMessage="1" promptTitle="Cargo quien elabora" prompt="Esta celda se diligencia automaticamente al seleccionar en el encabezado del formato el área responsable de la formulación " sqref="D18" xr:uid="{00000000-0002-0000-0400-000014000000}"/>
    <dataValidation allowBlank="1" showInputMessage="1" showErrorMessage="1" promptTitle="Cargo quien aprueba" prompt="Registre el cargo de quien aprueba la solicitud de propuesta a la modificación del  Plan Anual de adquisiciones de acuerdo con el nombre registrado en la celda anterior" sqref="O18" xr:uid="{00000000-0002-0000-0400-000015000000}"/>
    <dataValidation allowBlank="1" showInputMessage="1" showErrorMessage="1" promptTitle="Quien aprueba modificación PAA" prompt="Registre el nombre de quien aprueba la solicitud de modificación al  Plan Anual de Adquisiciones." sqref="M18" xr:uid="{00000000-0002-0000-0400-000016000000}"/>
    <dataValidation type="list" allowBlank="1" showInputMessage="1" showErrorMessage="1" errorTitle="Seleccione" error="Despliegue la flecha y seleccione la opción que aplique." promptTitle="Seleccione" prompt="Despliegue la flecha y seleccione la opción " sqref="E5" xr:uid="{00000000-0002-0000-0400-000018000000}">
      <formula1>"SI,N0"</formula1>
    </dataValidation>
    <dataValidation allowBlank="1" showInputMessage="1" showErrorMessage="1" promptTitle="Nombre de quien elabora el PAA" prompt="Registre el nombre de quien elabora la solicitud de modificación del Plan Anual de Adquisiciones." sqref="A18:B18" xr:uid="{00000000-0002-0000-0400-000017000000}"/>
  </dataValidations>
  <pageMargins left="0.70866141732283472" right="0.70866141732283472" top="0.74803149606299213" bottom="0.74803149606299213" header="0.31496062992125984" footer="0.31496062992125984"/>
  <pageSetup paperSize="14" scale="28" fitToHeight="0" orientation="landscape" verticalDpi="597" r:id="rId1"/>
  <headerFooter>
    <oddHeader>&amp;L&amp;G&amp;C&amp;"Arial,Negrita"FORMATO DE SOLICITUD DE RECURSOS&amp;R&amp;"Arial,Negrita"PLE-FO-06</oddHeader>
    <oddFooter>&amp;CFavor imprimir a doble cara
Proceso: Planeacion Estrategica PLE, Versión del formato 01, Página &amp;P, formato vigente desde: 11-11-2022 
Este documento es fiel copia del original, su impresión se considera copia no controlada.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INSTRUCTIVO</vt:lpstr>
      <vt:lpstr>DATOS</vt:lpstr>
      <vt:lpstr>PROGRAMACIÓN 2024 INVERSIÓN</vt:lpstr>
      <vt:lpstr>PROGRAMACIÓN 2024 FUNCIONAMIENT</vt:lpstr>
      <vt:lpstr>REPROGRAMACIÓN PPTAL</vt:lpstr>
      <vt:lpstr>REPROGRAMACIÓN CONTRACTUAL</vt:lpstr>
      <vt:lpstr>A_02</vt:lpstr>
      <vt:lpstr>C_3302_1603_10_0_3302046</vt:lpstr>
      <vt:lpstr>C_3302_1603_10_0_3302075</vt:lpstr>
      <vt:lpstr>C_3302_1603_11_0_3302074</vt:lpstr>
      <vt:lpstr>C_3302_1603_11_0_3302077</vt:lpstr>
      <vt:lpstr>C_3302_1603_12_20302B_3302001</vt:lpstr>
      <vt:lpstr>C_3302_1603_12_20302B_3302002</vt:lpstr>
      <vt:lpstr>C_3302_1603_12_20302B_3302047</vt:lpstr>
      <vt:lpstr>C_3302_1603_12_20302B_3302071</vt:lpstr>
      <vt:lpstr>C_3302_1603_12_20302B_3302075</vt:lpstr>
      <vt:lpstr>C_3302_1603_12_20302B_3302076</vt:lpstr>
      <vt:lpstr>C_3302_1603_12_20302B_3302077</vt:lpstr>
      <vt:lpstr>C_3302_1603_7_0_3302071</vt:lpstr>
      <vt:lpstr>C_3302_1603_9_0_3302047</vt:lpstr>
      <vt:lpstr>C_3302_1603_9_0_3302064</vt:lpstr>
      <vt:lpstr>C_3399_1603_6_20302D_3399016</vt:lpstr>
      <vt:lpstr>C_3399_1603_6_20302D_3399056</vt:lpstr>
      <vt:lpstr>C_3399_1603_6_20302D_3399062</vt:lpstr>
      <vt:lpstr>PROY1</vt:lpstr>
      <vt:lpstr>PROY2</vt:lpstr>
      <vt:lpstr>'PROGRAMACIÓN 2024 INVERSIÓN'!Títulos_a_imprimir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Mariet Otero Villa</dc:creator>
  <cp:lastModifiedBy>Sergio Saavedra</cp:lastModifiedBy>
  <cp:lastPrinted>2022-11-15T16:54:45Z</cp:lastPrinted>
  <dcterms:created xsi:type="dcterms:W3CDTF">2019-04-04T14:48:15Z</dcterms:created>
  <dcterms:modified xsi:type="dcterms:W3CDTF">2024-01-30T19:34:51Z</dcterms:modified>
</cp:coreProperties>
</file>