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mc:AlternateContent xmlns:mc="http://schemas.openxmlformats.org/markup-compatibility/2006">
    <mc:Choice Requires="x15">
      <x15ac:absPath xmlns:x15ac="http://schemas.microsoft.com/office/spreadsheetml/2010/11/ac" url="C:\Users\juan.manrique\Desktop\"/>
    </mc:Choice>
  </mc:AlternateContent>
  <xr:revisionPtr revIDLastSave="0" documentId="8_{9ED42234-E53C-4BD6-90C9-6436D2F0849E}" xr6:coauthVersionLast="47" xr6:coauthVersionMax="47" xr10:uidLastSave="{00000000-0000-0000-0000-000000000000}"/>
  <bookViews>
    <workbookView xWindow="-120" yWindow="-120" windowWidth="20730" windowHeight="11160" tabRatio="77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<sst xmlns="http://schemas.openxmlformats.org/spreadsheetml/2006/main" count="274" uniqueCount="195">
  <si>
    <t>Plantilla de certificado de Control Interno eKOGUI</t>
  </si>
  <si>
    <t>Agencia Nacional de Defensa Jurídica del Estado</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</si>
  <si>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</si>
  <si>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USUARIOS ACTIVOS</t>
  </si>
  <si>
    <t>Si</t>
  </si>
  <si>
    <t>Favor Diligenciar los Campos Resaltados</t>
  </si>
  <si>
    <t>No</t>
  </si>
  <si>
    <t>Fecha de diligenciamiento de plantilla</t>
  </si>
  <si>
    <t>N/A</t>
  </si>
  <si>
    <t>Favor Diligenciar los campos Resaltados</t>
  </si>
  <si>
    <t>ROL</t>
  </si>
  <si>
    <t>TIENE EL ROL</t>
  </si>
  <si>
    <t>FECHA CREACIÓN  EN EKOGUI</t>
  </si>
  <si>
    <t>NOMBRE</t>
  </si>
  <si>
    <t>FECHA ÚLTIMA CAPACITACIÓN</t>
  </si>
  <si>
    <t>ACTUALIZADO</t>
  </si>
  <si>
    <t>JEFE FINANCIERO</t>
  </si>
  <si>
    <t>ALIRIO ALONSO BAYONA FONSECA</t>
  </si>
  <si>
    <t>JEFE JURÍDICO</t>
  </si>
  <si>
    <t>JORGE ALEJANDRO CARRASQUILLA ORTIZ</t>
  </si>
  <si>
    <t>ENLACE DE PAGOS</t>
  </si>
  <si>
    <t>ARISNELLY CUESTA MEDINA</t>
  </si>
  <si>
    <t>JEFE CONTROL INTERNO</t>
  </si>
  <si>
    <t>JUAN MANUEL MANRIQUE RAMÍREZ</t>
  </si>
  <si>
    <t>SECRETARIO TÉCNICO</t>
  </si>
  <si>
    <t>ADMINISTRADOR DE LA ENTIDAD</t>
  </si>
  <si>
    <t>ROSSANNA MILENA PINEDO PONCE</t>
  </si>
  <si>
    <t>Observaciones</t>
  </si>
  <si>
    <t>A la fecha del reporte todos los usuarios se encontraron activos en el sistema. La Oficina Asesora Jurídica informó que a cada usuario de la OAJ le llegaron invitaciones al correo electrónico con el link para conectarse a las capacitaciones que programa la ANDJE, las cuales no son presenciales por el tema de la emergencia económica y social originada por el Covid -19. De igual manera, las capacitaciones recibidas por el Jefe de Control Interno se llevaron a cabo a través de la plataforma TEAMS.</t>
  </si>
  <si>
    <t>Abogados al 31 de diciembre de 2021</t>
  </si>
  <si>
    <t>INFORMACIÓN (1)</t>
  </si>
  <si>
    <t>CANTIDAD DE ABOGADOS</t>
  </si>
  <si>
    <t>ABOGADOS ACTIVOS AL 31-12-2021</t>
  </si>
  <si>
    <t>CANTIDAD</t>
  </si>
  <si>
    <t>Tiene información estudios</t>
  </si>
  <si>
    <t>CANTIDAD DE ABOGADOS LITIGANDO</t>
  </si>
  <si>
    <t>Tienen información experiencia</t>
  </si>
  <si>
    <t>ABOGADOS CREADOS EN EKOGUI ACTIVOS</t>
  </si>
  <si>
    <t>Tienen Información laboral</t>
  </si>
  <si>
    <t>ABOGADOS CON CORREO ACTUALIZADO</t>
  </si>
  <si>
    <t>(1) Se visualiza en el detalle del abogado a la fecha de revisión</t>
  </si>
  <si>
    <t>Solamente se revisa que tenga registrada alguna información registrada</t>
  </si>
  <si>
    <t>ABOGADOS INACTIVOS</t>
  </si>
  <si>
    <t>ÚLTIMA CAPACITACIÓN ABOGADOS ACTIVOS</t>
  </si>
  <si>
    <t>RETIRADOS EN LA ENTIDAD SEGUNDO SEMESTRE 2021</t>
  </si>
  <si>
    <t>Posteriores al 01-01-2020</t>
  </si>
  <si>
    <t>INACTIVADOS EN EKOGUI SEGUNDO SEMESTRE 2021</t>
  </si>
  <si>
    <t>Entre 21-03-2019 y 31-12-2019</t>
  </si>
  <si>
    <t>Capacitaciones anteriores al 21-03-2019</t>
  </si>
  <si>
    <t>Sin capacitación</t>
  </si>
  <si>
    <t>Observaciones:</t>
  </si>
  <si>
    <t xml:space="preserve">Se evidenció que los abogados activos creados en EKOGUI tenían correo actualizado asi como la información de estudios , laboral  y de experiencia actualizada en el sistema. </t>
  </si>
  <si>
    <t>Procesos Judiciales</t>
  </si>
  <si>
    <t>MAYORES A 33.000 SMMLV(4) ACTIVOS</t>
  </si>
  <si>
    <t xml:space="preserve">CANTIDAD </t>
  </si>
  <si>
    <t>Cantidad de procesos de más de 33.000 SMMLV</t>
  </si>
  <si>
    <t>PROCESOS ACTIVOS AL 31 DE DICIEMBRE DE 2021</t>
  </si>
  <si>
    <t>Procesos de más de 33.000 SMMLV registrados en eKOGUI</t>
  </si>
  <si>
    <t>CANTIDAD DE PROCESOS ACTIVOS</t>
  </si>
  <si>
    <t>Procesos de más de 33.000 SMMLV con la pieza demanda(5)</t>
  </si>
  <si>
    <t>PROCESOS ACTIVOS REGISTRADOS EN EKOGUI</t>
  </si>
  <si>
    <t>(4)Equivalente a un valor indexado de $29.981 millones a 31 de diciembre de 2021</t>
  </si>
  <si>
    <t>PROCESOS SIN ABOGADO ASIGNADO(1)</t>
  </si>
  <si>
    <t>(5) Puede ser remitida a la ANDJE o cargada en el sistema</t>
  </si>
  <si>
    <t>(1) Con fecha de registro anterior al 15-12-2021</t>
  </si>
  <si>
    <t>CALIFICACIÓN DE RIESGO</t>
  </si>
  <si>
    <t>PROCESOS TERMINADOS SEGUNDO SEMESTRE 2021</t>
  </si>
  <si>
    <t>PROCESOS ACTIVOS EN CALIDAD DEMANDADO AL 31-12-2021</t>
  </si>
  <si>
    <t>PROCESOS TERMINADOS DURANTE SEGUNDO SEMESTRE 2021</t>
  </si>
  <si>
    <t>PROCESOS CON CALIFICACIÓN SEGUNDO SEMESTRE 2021</t>
  </si>
  <si>
    <t>TERMINADOS EN EKOGUI DURANTE SEGUNDO SEMESTRE 2021 (2)</t>
  </si>
  <si>
    <t>PROCESOS CON CALIFICACIÓN ANTERIOR A 30-06-2021</t>
  </si>
  <si>
    <t>(2) Con fecha de actuación en 2021</t>
  </si>
  <si>
    <t>PROCESOS SIN CALIFICACIÓN</t>
  </si>
  <si>
    <t>ACTUALIZACIÓN</t>
  </si>
  <si>
    <t>PROVISIÓN CONTABLE (6)</t>
  </si>
  <si>
    <t># PROCESOS</t>
  </si>
  <si>
    <t>CON PROVISIÓN IGUAL A CERO</t>
  </si>
  <si>
    <t>PROCESO TERMINADOS AL 31 DE DICIEMBRE 2021</t>
  </si>
  <si>
    <t>PROBABILIDAD DE PERDER EL CASO ALTA</t>
  </si>
  <si>
    <t>PROCESOS ACTIVOS CON ESTADO TERMINADO(3)</t>
  </si>
  <si>
    <t>PROBABILIDAD DE PERDER EL CASO MEDIA</t>
  </si>
  <si>
    <r>
      <t>(3)En el reporte de activos al 31 de diciembre verifique la columna</t>
    </r>
    <r>
      <rPr>
        <b/>
        <i/>
        <sz val="9"/>
        <color theme="1"/>
        <rFont val="Calibri"/>
        <family val="2"/>
        <scheme val="minor"/>
      </rPr>
      <t xml:space="preserve"> Estado General del proceso</t>
    </r>
  </si>
  <si>
    <t>PROBABILIDAD DE PERDER EL CASO BAJA</t>
  </si>
  <si>
    <t>PROBABILIDAD DE PERDER EL CASO REMOTA</t>
  </si>
  <si>
    <t>(6) Solo se consideran los procesos activos - calidad demandado al 31 de DICIEMBRE de 2021 que tengan calificación de riesgo</t>
  </si>
  <si>
    <t>CONDENAS</t>
  </si>
  <si>
    <t>OBSERVACIONES</t>
  </si>
  <si>
    <t>PROCESOS ANALIZADOS</t>
  </si>
  <si>
    <t>PROCESOS TERMINADOS CON EJECUTORIA</t>
  </si>
  <si>
    <t>PROCESOS DESFAVORABLES</t>
  </si>
  <si>
    <t>PROCESOS QUE GENERAN EROGACIÓN ECONÓMICA</t>
  </si>
  <si>
    <t>PROCESOS CON VALOR CONDENA MAYOR A CERO</t>
  </si>
  <si>
    <t>Conciliaciones Prejudiciales</t>
  </si>
  <si>
    <t>PREJUDICIALES ACTIVAS AL 31-12-2021</t>
  </si>
  <si>
    <t>TOTAL PREJUDICIALES ACTIVOS</t>
  </si>
  <si>
    <t>TOTAL PREJUDICIALES ACTIVOS EN EKOGUI</t>
  </si>
  <si>
    <t>CANTIDAD PREJUDICIALES</t>
  </si>
  <si>
    <t>REGISTRO POSTERIOR AL 01/07/2021</t>
  </si>
  <si>
    <t>Procesos que efectivamente se encuentran activos</t>
  </si>
  <si>
    <t>REGISTRO ENTRE 1 DE ENERO Y 30 DE JUNIO 2021</t>
  </si>
  <si>
    <t>Procesos que se encuentran terminados</t>
  </si>
  <si>
    <t>REGISTRO EN 2020 Y ANTERIORES</t>
  </si>
  <si>
    <t>PREJUDICIALES TERMINADAS SEGUNDO SEMESTRE 2021</t>
  </si>
  <si>
    <t>TOTAL PREJUDICIALES TERMINADOS II SEM. 2021</t>
  </si>
  <si>
    <t>TERMINADOS ÚLTIMA ACTUACIÓN II SEM. 2021</t>
  </si>
  <si>
    <t>ARBITRAMENTOS</t>
  </si>
  <si>
    <t>ARBITRAMENTOS ACTIVOS AL 31-12-2021</t>
  </si>
  <si>
    <t>TOTAL ARBITRAMENTOS TERMINADOS  AL 31-12-2021</t>
  </si>
  <si>
    <t>ARBITRAMENTOS REGISTRADOS EN EKOGUI</t>
  </si>
  <si>
    <t>ARBITRAMENTOS TERMINADOS EN EKOGUI</t>
  </si>
  <si>
    <t>Según información de la Oficina Asesora Jurídica no se registraron arbitramentos en 2021.</t>
  </si>
  <si>
    <t>Pagos</t>
  </si>
  <si>
    <t>PROCESOS ACTIVOS</t>
  </si>
  <si>
    <t>El Coordinador del Grupo de Gestión Financiera informó que la Entidad no ha gestionado pagos sobre procesos judiciales, procesos arbitrales y conciliaciones extrajudiciales, en el SIIF de MinHacienda.</t>
  </si>
  <si>
    <t>Gestiona pagos en SIIF de MinHacienda</t>
  </si>
  <si>
    <t>Pagos enlazados al 31-12-2021</t>
  </si>
  <si>
    <t>Plantilla de certificado de Control Interno</t>
  </si>
  <si>
    <t>Favor Diligenciar los Campos Resaltados y Revisar la Información Incompleta Antes de Remitir a la ANDJE</t>
  </si>
  <si>
    <t>NOMBRE ENTIDAD</t>
  </si>
  <si>
    <t>ARCHIVO GENERAL DE LA NACIÓN</t>
  </si>
  <si>
    <t>NOMBRE Y APELLIDO JEFE CONTROL INTERNO</t>
  </si>
  <si>
    <t>INFORMACIÓN USUARIOS</t>
  </si>
  <si>
    <t>PREJUDICIALES</t>
  </si>
  <si>
    <t>Completitud de roles</t>
  </si>
  <si>
    <t>Procesos prejudiciales</t>
  </si>
  <si>
    <t>Usuarios activos</t>
  </si>
  <si>
    <t>Porcentaje de registro</t>
  </si>
  <si>
    <t>Uso del sistema</t>
  </si>
  <si>
    <t>No Aplica</t>
  </si>
  <si>
    <t>Actualización prejudiciales</t>
  </si>
  <si>
    <t>Nivel de capacitación</t>
  </si>
  <si>
    <t>JUDICIALES</t>
  </si>
  <si>
    <t>Procesos arbitrales</t>
  </si>
  <si>
    <t>Procesos activos</t>
  </si>
  <si>
    <t>Actualización más de 33.000 SMMLV</t>
  </si>
  <si>
    <t>PAGOS</t>
  </si>
  <si>
    <t>Procesos por abogado</t>
  </si>
  <si>
    <t>Pagos relacionados</t>
  </si>
  <si>
    <t>Provisión incorrecta</t>
  </si>
  <si>
    <t>Uso del módulo pagos</t>
  </si>
  <si>
    <t xml:space="preserve">Con fundamento en las disposiciones establecidas en el Instructivo del Sistema Único de Gestión e Información litigiosa e-KOGUI, Perfil Jefe de Control Interno V 11.0 expedida por la Agencia Nacional de Defensa Jurídica del Estado se remite la Certificación del Jefe de Control Interno con los resultados para el periodo del 1 de julio a 31 de diciembre de 2021, reportada en la Plantilla de diligenciamiento dispuesta por la ANDJE – Sistema Único de Gestión e Información Litigiosa del Estado E kogui en su página web. </t>
  </si>
  <si>
    <t>ENTIDAD</t>
  </si>
  <si>
    <t>NOMBRE JEFE CONTROL INTERNO</t>
  </si>
  <si>
    <t>ABOGADOS CON PROCESOS ACTIVOS</t>
  </si>
  <si>
    <t>RETIRADOS EN LA ENTIDAD PRIMER SEMESTRE 2020</t>
  </si>
  <si>
    <t>INACTIVADOS EN EKOGUI PRIMER SEMESTRE 2020</t>
  </si>
  <si>
    <t>TIENE INFORMACIÓN ESTUDIOS</t>
  </si>
  <si>
    <t>TIENEN INFORMACIÓN EXPERIENCIA</t>
  </si>
  <si>
    <t>TIENEN INFORMACIÓN LABORAL</t>
  </si>
  <si>
    <t>POSTERIORES AL 01-01-2020</t>
  </si>
  <si>
    <t>ENTRE 21-03-2019 Y 31-12-2019</t>
  </si>
  <si>
    <t>CAPACITACIONES ANTERIORES AL 21-03-2019</t>
  </si>
  <si>
    <t>SIN CAPACITACIÓN</t>
  </si>
  <si>
    <t>PROCESOS SIN ABOGADO ASIGNADO</t>
  </si>
  <si>
    <t>PROCESOS TERMINADOS PERIODO</t>
  </si>
  <si>
    <t>TERMINADOS PERIODO EN EKOGUI</t>
  </si>
  <si>
    <t>PROCESO ENTIDAD TERMINADOS</t>
  </si>
  <si>
    <t>PROCESOS ACTIVOS CON ESTADO TERMINADO</t>
  </si>
  <si>
    <t>CANTIDAD DE PROCESOS DE MÁS DE 33.000 SMMLV</t>
  </si>
  <si>
    <t>PROCESOS DE MÁS DE 33.000 SMMLV REGISTRADOS EN EKOGUI</t>
  </si>
  <si>
    <t xml:space="preserve">PROCESOS DE MÁS DE 33.000 SMMLV CON LA PIEZA DEMANDA </t>
  </si>
  <si>
    <t>PROCESOS ACTIVOS EN CALIDAD DEMANDADO</t>
  </si>
  <si>
    <t>PROCESOS CON CALIFICACIÓN  EN 2020</t>
  </si>
  <si>
    <t>PROCESOS CON CALIFICACIÓN ANTERIOR A 2020</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</si>
  <si>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</si>
  <si>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</si>
  <si>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</si>
  <si>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</si>
  <si>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</si>
  <si>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</si>
  <si>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</si>
  <si>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</si>
  <si>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REGISTRO EN 2020</t>
  </si>
  <si>
    <t>REGISTRO EN 2019</t>
  </si>
  <si>
    <t>REGISTRO EN 2018 Y ANTERIORES</t>
  </si>
  <si>
    <t>TOTAL PROCESOS TERMINADOS</t>
  </si>
  <si>
    <t>TERMINADOS ÚLTIMA ACTUACIÓN EN 2020</t>
  </si>
  <si>
    <t>Proceso que se encuentran terminados</t>
  </si>
  <si>
    <t>ARBITRAMENTOS ACTIVOS</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</si>
  <si>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</si>
  <si>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</si>
  <si>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</si>
  <si>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</si>
  <si>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</si>
  <si>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</si>
  <si>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</si>
  <si>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</si>
  <si>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</si>
  <si>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</si>
  <si>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</si>
  <si>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</si>
  <si>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</si>
  <si>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 xml:space="preserve">Según información de OAJ a 31 de diciembre de 2021 se tenían 9 procesos activos, acorde con lo registrado en el sistema y dos (2) procesos se terminaron durante al segundo semestre de 2021 (1161732-1227359) para un total de 12 procesos terminados a corte 31 de diciembre de 2021 en el sistema .Los procesos terminados durante el 2o. Sem de 2021 tienen registrada la ejecutoria de la sentencia con fallo favorable.  De los nueve (9) procesos activos en calidad de demandado a 30 de diciembre de 2021  no se registran casos con posiblidad de perder el caso ALTA; se evidenció que dentro de los procesos registrados con probabilidad de perder el caso MEDIA se encuentran tres (3) con provisión contable igual a cero (0) y REMOTA se encuentran dos (2) con provisión contable igual a cero (0).De los 9 procesos, 7 se encuentran sin calificación del riesgo durante el segundo semestre de 2021 y dos (2) registran como último estado de la actuación en contestación de la demanda. Por información de la OAJ se indicó que no se actualizó la calificación del riesgo porque el año ingresado como terminación del proceso aparece en 2021 y el año no puede ser inferior al calculado. </t>
  </si>
  <si>
    <t>Consultada la Oficina Asesora Jurídca se informó que no se registraron solicitudes de conciliaciones prejudiciales en el segundo semestre de 2021; Revisado el módulo de consultas y reportes - Reporte conciliaciones extrajudiciales en el sistema, se observan dos (2) conciliaciones activas extrajudiciales registradas  bajo el ID1401888 y el  ID978784, respectivamente;sin embargo, el módulo de gestión de casos reporta ACTIVA únicamente una (1) conciliación extrajudicial (ID 1401888).Revisado el módulo de consultas y reportes - Reporte conciliaciones extrajudiciales en el sistema, se observan dos (2) conciliaciones activas extrajudiciales registradas  bajo el ID1401888 y el  ID978784, respectivamente;sin embargo, el módulo de gestión de casos reporta ACTIVA únicamente una (1) conciliación extrajudicial (ID 1401888)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</si>
</sst>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1">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7"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tabSelected="1" workbookViewId="0"/>
  </sheetViews>
  <sheetFormatPr baseColWidth="10" defaultColWidth="11.42578125"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6" t="s">
        <v>0</v>
      </c>
      <c r="C3" s="77"/>
      <c r="D3" s="77"/>
      <c r="E3" s="77"/>
      <c r="F3" s="77"/>
      <c r="G3" s="77"/>
      <c r="H3" s="77"/>
      <c r="I3" s="77"/>
      <c r="J3" s="77"/>
      <c r="K3" s="77"/>
      <c r="L3" s="77"/>
      <c r="M3" s="77"/>
      <c r="N3" s="77"/>
      <c r="O3" s="78"/>
    </row>
    <row r="4" spans="2:15" ht="23.25" x14ac:dyDescent="0.35">
      <c r="B4" s="76" t="s">
        <v>1</v>
      </c>
      <c r="C4" s="77"/>
      <c r="D4" s="77"/>
      <c r="E4" s="77"/>
      <c r="F4" s="77"/>
      <c r="G4" s="77"/>
      <c r="H4" s="77"/>
      <c r="I4" s="77"/>
      <c r="J4" s="77"/>
      <c r="K4" s="77"/>
      <c r="L4" s="77"/>
      <c r="M4" s="77"/>
      <c r="N4" s="77"/>
      <c r="O4" s="78"/>
    </row>
    <row r="5" spans="2:15" x14ac:dyDescent="0.25">
      <c r="B5" s="5"/>
      <c r="O5" s="6"/>
    </row>
    <row r="6" spans="2:15" x14ac:dyDescent="0.25">
      <c r="B6" s="5"/>
      <c r="C6" s="79" t="s">
        <v>2</v>
      </c>
      <c r="D6" s="79"/>
      <c r="E6" s="79"/>
      <c r="F6" s="79"/>
      <c r="G6" s="79"/>
      <c r="H6" s="79"/>
      <c r="I6" s="79"/>
      <c r="J6" s="79"/>
      <c r="K6" s="79"/>
      <c r="L6" s="79"/>
      <c r="M6" s="79"/>
      <c r="N6" s="79"/>
      <c r="O6" s="6"/>
    </row>
    <row r="7" spans="2:15" x14ac:dyDescent="0.25">
      <c r="B7" s="5"/>
      <c r="C7" s="79"/>
      <c r="D7" s="79"/>
      <c r="E7" s="79"/>
      <c r="F7" s="79"/>
      <c r="G7" s="79"/>
      <c r="H7" s="79"/>
      <c r="I7" s="79"/>
      <c r="J7" s="79"/>
      <c r="K7" s="79"/>
      <c r="L7" s="79"/>
      <c r="M7" s="79"/>
      <c r="N7" s="79"/>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7" zoomScale="89" zoomScaleNormal="89" workbookViewId="0">
      <selection activeCell="D21" sqref="D21"/>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0" t="s">
        <v>3</v>
      </c>
      <c r="C7" s="81"/>
      <c r="D7" s="81"/>
      <c r="E7" s="81"/>
      <c r="F7" s="81"/>
      <c r="G7" s="82"/>
      <c r="T7" s="1" t="s">
        <v>4</v>
      </c>
    </row>
    <row r="8" spans="2:20" ht="15.75" thickBot="1" x14ac:dyDescent="0.3">
      <c r="B8" s="13"/>
      <c r="D8" s="88" t="s">
        <v>5</v>
      </c>
      <c r="E8" s="88"/>
      <c r="G8" s="14"/>
      <c r="T8" s="1" t="s">
        <v>6</v>
      </c>
    </row>
    <row r="9" spans="2:20" ht="15.75" thickBot="1" x14ac:dyDescent="0.3">
      <c r="B9" s="86" t="s">
        <v>7</v>
      </c>
      <c r="C9" s="87"/>
      <c r="D9" s="69">
        <v>44624</v>
      </c>
      <c r="G9" s="14"/>
      <c r="T9" s="1" t="s">
        <v>8</v>
      </c>
    </row>
    <row r="10" spans="2:20" x14ac:dyDescent="0.25">
      <c r="B10" s="13" t="s">
        <v>9</v>
      </c>
      <c r="G10" s="58">
        <v>43545</v>
      </c>
    </row>
    <row r="11" spans="2:20" x14ac:dyDescent="0.25">
      <c r="B11" s="20" t="s">
        <v>10</v>
      </c>
      <c r="C11" s="21" t="s">
        <v>11</v>
      </c>
      <c r="D11" s="22" t="s">
        <v>12</v>
      </c>
      <c r="E11" s="21" t="s">
        <v>13</v>
      </c>
      <c r="F11" s="21" t="s">
        <v>14</v>
      </c>
      <c r="G11" s="23" t="s">
        <v>15</v>
      </c>
    </row>
    <row r="12" spans="2:20" x14ac:dyDescent="0.25">
      <c r="B12" s="19" t="s">
        <v>16</v>
      </c>
      <c r="C12" s="68" t="s">
        <v>4</v>
      </c>
      <c r="D12" s="69">
        <v>43720</v>
      </c>
      <c r="E12" s="68" t="s">
        <v>17</v>
      </c>
      <c r="F12" s="69">
        <v>43766</v>
      </c>
      <c r="G12" s="70" t="str">
        <f>+IF(C12="SI",IF(F12&lt;$G$10,"DESACTUALIZADO",""),"")</f>
        <v/>
      </c>
      <c r="H12" s="36">
        <f t="shared" ref="H12:H17" si="0">+IF(C12="N/A",1,0)</f>
        <v>0</v>
      </c>
      <c r="I12" s="36">
        <f t="shared" ref="I12:I17" si="1">+IF(C12="Si",1,0)</f>
        <v>1</v>
      </c>
      <c r="J12" s="36">
        <f t="shared" ref="J12:J17" si="2">+IF(C12="No",1,0)</f>
        <v>0</v>
      </c>
    </row>
    <row r="13" spans="2:20" x14ac:dyDescent="0.25">
      <c r="B13" s="19" t="s">
        <v>18</v>
      </c>
      <c r="C13" s="68" t="s">
        <v>4</v>
      </c>
      <c r="D13" s="69">
        <v>43846</v>
      </c>
      <c r="E13" s="68" t="s">
        <v>19</v>
      </c>
      <c r="F13" s="69">
        <v>44448</v>
      </c>
      <c r="G13" s="70" t="str">
        <f t="shared" ref="G13:G17" si="3">+IF(C13="SI",IF(F13&lt;$G$10,"DESACTUALIZADO",""),"")</f>
        <v/>
      </c>
      <c r="H13" s="36">
        <f t="shared" si="0"/>
        <v>0</v>
      </c>
      <c r="I13" s="36">
        <f t="shared" si="1"/>
        <v>1</v>
      </c>
      <c r="J13" s="36">
        <f t="shared" si="2"/>
        <v>0</v>
      </c>
    </row>
    <row r="14" spans="2:20" x14ac:dyDescent="0.25">
      <c r="B14" s="19" t="s">
        <v>20</v>
      </c>
      <c r="C14" s="68" t="s">
        <v>4</v>
      </c>
      <c r="D14" s="69">
        <v>43720</v>
      </c>
      <c r="E14" s="68" t="s">
        <v>21</v>
      </c>
      <c r="F14" s="69">
        <v>43766</v>
      </c>
      <c r="G14" s="70" t="str">
        <f t="shared" si="3"/>
        <v/>
      </c>
      <c r="H14" s="36">
        <f t="shared" si="0"/>
        <v>0</v>
      </c>
      <c r="I14" s="36">
        <f t="shared" si="1"/>
        <v>1</v>
      </c>
      <c r="J14" s="36">
        <f t="shared" si="2"/>
        <v>0</v>
      </c>
      <c r="T14" s="41">
        <v>43545</v>
      </c>
    </row>
    <row r="15" spans="2:20" x14ac:dyDescent="0.25">
      <c r="B15" s="19" t="s">
        <v>22</v>
      </c>
      <c r="C15" s="68" t="s">
        <v>4</v>
      </c>
      <c r="D15" s="69">
        <v>43753</v>
      </c>
      <c r="E15" s="68" t="s">
        <v>23</v>
      </c>
      <c r="F15" s="69">
        <v>44390</v>
      </c>
      <c r="G15" s="70" t="str">
        <f t="shared" si="3"/>
        <v/>
      </c>
      <c r="H15" s="36">
        <f t="shared" si="0"/>
        <v>0</v>
      </c>
      <c r="I15" s="36">
        <f t="shared" si="1"/>
        <v>1</v>
      </c>
      <c r="J15" s="36">
        <f t="shared" si="2"/>
        <v>0</v>
      </c>
    </row>
    <row r="16" spans="2:20" x14ac:dyDescent="0.25">
      <c r="B16" s="19" t="s">
        <v>24</v>
      </c>
      <c r="C16" s="68" t="s">
        <v>4</v>
      </c>
      <c r="D16" s="69">
        <v>43846</v>
      </c>
      <c r="E16" s="68" t="s">
        <v>19</v>
      </c>
      <c r="F16" s="69">
        <v>44448</v>
      </c>
      <c r="G16" s="70" t="str">
        <f t="shared" si="3"/>
        <v/>
      </c>
      <c r="H16" s="36">
        <f t="shared" si="0"/>
        <v>0</v>
      </c>
      <c r="I16" s="36">
        <f t="shared" si="1"/>
        <v>1</v>
      </c>
      <c r="J16" s="36">
        <f t="shared" si="2"/>
        <v>0</v>
      </c>
    </row>
    <row r="17" spans="2:10" x14ac:dyDescent="0.25">
      <c r="B17" s="19" t="s">
        <v>25</v>
      </c>
      <c r="C17" s="68" t="s">
        <v>4</v>
      </c>
      <c r="D17" s="69">
        <v>42067</v>
      </c>
      <c r="E17" s="68" t="s">
        <v>26</v>
      </c>
      <c r="F17" s="69">
        <v>44448</v>
      </c>
      <c r="G17" s="70" t="str">
        <f t="shared" si="3"/>
        <v/>
      </c>
      <c r="H17" s="36">
        <f t="shared" si="0"/>
        <v>0</v>
      </c>
      <c r="I17" s="36">
        <f t="shared" si="1"/>
        <v>1</v>
      </c>
      <c r="J17" s="36">
        <f t="shared" si="2"/>
        <v>0</v>
      </c>
    </row>
    <row r="18" spans="2:10" x14ac:dyDescent="0.25">
      <c r="B18" s="13"/>
      <c r="G18" s="14"/>
    </row>
    <row r="19" spans="2:10" ht="94.5" customHeight="1" thickBot="1" x14ac:dyDescent="0.3">
      <c r="B19" s="53" t="s">
        <v>27</v>
      </c>
      <c r="C19" s="83" t="s">
        <v>28</v>
      </c>
      <c r="D19" s="84"/>
      <c r="E19" s="84"/>
      <c r="F19" s="84"/>
      <c r="G19" s="85"/>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75" priority="44" operator="containsText" text="N/A">
      <formula>NOT(ISERROR(SEARCH("N/A",C12)))</formula>
    </cfRule>
    <cfRule type="containsBlanks" dxfId="74" priority="52">
      <formula>LEN(TRIM(C12))=0</formula>
    </cfRule>
  </conditionalFormatting>
  <conditionalFormatting sqref="D12:F17">
    <cfRule type="containsBlanks" dxfId="73" priority="46">
      <formula>LEN(TRIM(D12))=0</formula>
    </cfRule>
  </conditionalFormatting>
  <conditionalFormatting sqref="C19">
    <cfRule type="containsBlanks" dxfId="72" priority="45">
      <formula>LEN(TRIM(C19))=0</formula>
    </cfRule>
  </conditionalFormatting>
  <conditionalFormatting sqref="D12:F12">
    <cfRule type="expression" dxfId="71" priority="40">
      <formula>OR($C$12="No",$C$12="N/A")</formula>
    </cfRule>
  </conditionalFormatting>
  <conditionalFormatting sqref="D14:F14">
    <cfRule type="expression" dxfId="70" priority="39">
      <formula>OR($C$14="No",$C$14="N/A")</formula>
    </cfRule>
  </conditionalFormatting>
  <conditionalFormatting sqref="D13:F13">
    <cfRule type="expression" dxfId="69" priority="37">
      <formula>OR($C$13="No",$C$13="N/A")</formula>
    </cfRule>
  </conditionalFormatting>
  <conditionalFormatting sqref="D15:F15">
    <cfRule type="expression" dxfId="68" priority="35">
      <formula>OR($C$15="No",$C$15="N/A")</formula>
    </cfRule>
  </conditionalFormatting>
  <conditionalFormatting sqref="D16:F16">
    <cfRule type="expression" dxfId="67" priority="34">
      <formula>OR($C$16="No",$C$16="N/A")</formula>
    </cfRule>
  </conditionalFormatting>
  <conditionalFormatting sqref="D17:F17">
    <cfRule type="expression" dxfId="66" priority="33">
      <formula>OR($C$17="No",$C$17="N/A")</formula>
    </cfRule>
  </conditionalFormatting>
  <conditionalFormatting sqref="D13">
    <cfRule type="expression" dxfId="65" priority="32">
      <formula>OR($C$12="No",$C$12="N/A")</formula>
    </cfRule>
  </conditionalFormatting>
  <conditionalFormatting sqref="F13">
    <cfRule type="expression" dxfId="64" priority="31">
      <formula>OR($C$12="No",$C$12="N/A")</formula>
    </cfRule>
  </conditionalFormatting>
  <conditionalFormatting sqref="D14">
    <cfRule type="expression" dxfId="63" priority="30">
      <formula>OR($C$13="No",$C$13="N/A")</formula>
    </cfRule>
  </conditionalFormatting>
  <conditionalFormatting sqref="D14">
    <cfRule type="expression" dxfId="62" priority="29">
      <formula>OR($C$12="No",$C$12="N/A")</formula>
    </cfRule>
  </conditionalFormatting>
  <conditionalFormatting sqref="D9">
    <cfRule type="containsBlanks" dxfId="61" priority="28">
      <formula>LEN(TRIM(D9))=0</formula>
    </cfRule>
  </conditionalFormatting>
  <conditionalFormatting sqref="D9">
    <cfRule type="expression" dxfId="60" priority="27">
      <formula>OR($C$12="No",$C$12="N/A")</formula>
    </cfRule>
  </conditionalFormatting>
  <conditionalFormatting sqref="F14">
    <cfRule type="expression" dxfId="59" priority="26">
      <formula>OR($C$13="No",$C$13="N/A")</formula>
    </cfRule>
  </conditionalFormatting>
  <conditionalFormatting sqref="F14">
    <cfRule type="expression" dxfId="58" priority="25">
      <formula>OR($C$12="No",$C$12="N/A")</formula>
    </cfRule>
  </conditionalFormatting>
  <conditionalFormatting sqref="D15">
    <cfRule type="expression" dxfId="57" priority="24">
      <formula>OR($C$14="No",$C$14="N/A")</formula>
    </cfRule>
  </conditionalFormatting>
  <conditionalFormatting sqref="D15">
    <cfRule type="expression" dxfId="56" priority="23">
      <formula>OR($C$13="No",$C$13="N/A")</formula>
    </cfRule>
  </conditionalFormatting>
  <conditionalFormatting sqref="D15">
    <cfRule type="expression" dxfId="55" priority="22">
      <formula>OR($C$12="No",$C$12="N/A")</formula>
    </cfRule>
  </conditionalFormatting>
  <conditionalFormatting sqref="F15">
    <cfRule type="expression" dxfId="54" priority="21">
      <formula>OR($C$14="No",$C$14="N/A")</formula>
    </cfRule>
  </conditionalFormatting>
  <conditionalFormatting sqref="F15">
    <cfRule type="expression" dxfId="53" priority="20">
      <formula>OR($C$13="No",$C$13="N/A")</formula>
    </cfRule>
  </conditionalFormatting>
  <conditionalFormatting sqref="F15">
    <cfRule type="expression" dxfId="52" priority="19">
      <formula>OR($C$12="No",$C$12="N/A")</formula>
    </cfRule>
  </conditionalFormatting>
  <conditionalFormatting sqref="D16">
    <cfRule type="expression" dxfId="51" priority="18">
      <formula>OR($C$15="No",$C$15="N/A")</formula>
    </cfRule>
  </conditionalFormatting>
  <conditionalFormatting sqref="D16">
    <cfRule type="expression" dxfId="50" priority="17">
      <formula>OR($C$14="No",$C$14="N/A")</formula>
    </cfRule>
  </conditionalFormatting>
  <conditionalFormatting sqref="D16">
    <cfRule type="expression" dxfId="49" priority="16">
      <formula>OR($C$13="No",$C$13="N/A")</formula>
    </cfRule>
  </conditionalFormatting>
  <conditionalFormatting sqref="D16">
    <cfRule type="expression" dxfId="48" priority="15">
      <formula>OR($C$12="No",$C$12="N/A")</formula>
    </cfRule>
  </conditionalFormatting>
  <conditionalFormatting sqref="F16">
    <cfRule type="expression" dxfId="47" priority="14">
      <formula>OR($C$15="No",$C$15="N/A")</formula>
    </cfRule>
  </conditionalFormatting>
  <conditionalFormatting sqref="F16">
    <cfRule type="expression" dxfId="46" priority="13">
      <formula>OR($C$14="No",$C$14="N/A")</formula>
    </cfRule>
  </conditionalFormatting>
  <conditionalFormatting sqref="F16">
    <cfRule type="expression" dxfId="45" priority="12">
      <formula>OR($C$13="No",$C$13="N/A")</formula>
    </cfRule>
  </conditionalFormatting>
  <conditionalFormatting sqref="F16">
    <cfRule type="expression" dxfId="44" priority="11">
      <formula>OR($C$12="No",$C$12="N/A")</formula>
    </cfRule>
  </conditionalFormatting>
  <conditionalFormatting sqref="D17">
    <cfRule type="expression" dxfId="43" priority="10">
      <formula>OR($C$16="No",$C$16="N/A")</formula>
    </cfRule>
  </conditionalFormatting>
  <conditionalFormatting sqref="D17">
    <cfRule type="expression" dxfId="42" priority="9">
      <formula>OR($C$15="No",$C$15="N/A")</formula>
    </cfRule>
  </conditionalFormatting>
  <conditionalFormatting sqref="D17">
    <cfRule type="expression" dxfId="41" priority="8">
      <formula>OR($C$14="No",$C$14="N/A")</formula>
    </cfRule>
  </conditionalFormatting>
  <conditionalFormatting sqref="D17">
    <cfRule type="expression" dxfId="40" priority="7">
      <formula>OR($C$13="No",$C$13="N/A")</formula>
    </cfRule>
  </conditionalFormatting>
  <conditionalFormatting sqref="D17">
    <cfRule type="expression" dxfId="39" priority="6">
      <formula>OR($C$12="No",$C$12="N/A")</formula>
    </cfRule>
  </conditionalFormatting>
  <conditionalFormatting sqref="F17">
    <cfRule type="expression" dxfId="38" priority="5">
      <formula>OR($C$16="No",$C$16="N/A")</formula>
    </cfRule>
  </conditionalFormatting>
  <conditionalFormatting sqref="F17">
    <cfRule type="expression" dxfId="37" priority="4">
      <formula>OR($C$15="No",$C$15="N/A")</formula>
    </cfRule>
  </conditionalFormatting>
  <conditionalFormatting sqref="F17">
    <cfRule type="expression" dxfId="36" priority="3">
      <formula>OR($C$14="No",$C$14="N/A")</formula>
    </cfRule>
  </conditionalFormatting>
  <conditionalFormatting sqref="F17">
    <cfRule type="expression" dxfId="35" priority="2">
      <formula>OR($C$13="No",$C$13="N/A")</formula>
    </cfRule>
  </conditionalFormatting>
  <conditionalFormatting sqref="F17">
    <cfRule type="expression" dxfId="34" priority="1">
      <formula>OR($C$12="No",$C$12="N/A")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ColWidth="11.42578125"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1</v>
      </c>
    </row>
    <row r="4" spans="2:22" x14ac:dyDescent="0.25">
      <c r="B4" s="13"/>
      <c r="H4" s="14"/>
    </row>
    <row r="5" spans="2:22" x14ac:dyDescent="0.25">
      <c r="B5" s="13"/>
      <c r="D5" s="1" t="s">
        <v>5</v>
      </c>
      <c r="H5" s="14"/>
    </row>
    <row r="6" spans="2:22" ht="15" customHeight="1" x14ac:dyDescent="0.25">
      <c r="B6" s="13"/>
      <c r="G6" s="26"/>
      <c r="H6" s="27"/>
    </row>
    <row r="7" spans="2:22" ht="17.25" customHeight="1" x14ac:dyDescent="0.35">
      <c r="B7" s="13"/>
      <c r="C7" s="18" t="s">
        <v>7</v>
      </c>
      <c r="D7" s="69">
        <v>44624</v>
      </c>
      <c r="E7" s="24"/>
      <c r="F7" s="89" t="str">
        <f>"Seleccione una muestra de "&amp;V3&amp;" abogados activos y complete la siguiente tabla"</f>
        <v>Seleccione una muestra de 1 abogados activos y complete la siguiente tabla</v>
      </c>
      <c r="G7" s="90"/>
      <c r="H7" s="27"/>
    </row>
    <row r="8" spans="2:22" x14ac:dyDescent="0.25">
      <c r="B8" s="13"/>
      <c r="F8" s="91"/>
      <c r="G8" s="92"/>
      <c r="H8" s="14"/>
      <c r="T8" s="1" t="s">
        <v>6</v>
      </c>
    </row>
    <row r="9" spans="2:22" ht="23.25" x14ac:dyDescent="0.25">
      <c r="B9" s="13"/>
      <c r="C9" s="28" t="s">
        <v>29</v>
      </c>
      <c r="E9"/>
      <c r="F9" s="22" t="s">
        <v>30</v>
      </c>
      <c r="G9" s="22" t="s">
        <v>31</v>
      </c>
      <c r="H9" s="14"/>
      <c r="T9" s="1" t="s">
        <v>8</v>
      </c>
    </row>
    <row r="10" spans="2:22" x14ac:dyDescent="0.25">
      <c r="B10" s="13"/>
      <c r="C10" s="21" t="s">
        <v>32</v>
      </c>
      <c r="D10" s="21" t="s">
        <v>33</v>
      </c>
      <c r="E10"/>
      <c r="F10" s="18" t="s">
        <v>34</v>
      </c>
      <c r="G10" s="68">
        <v>1</v>
      </c>
      <c r="H10" s="14"/>
    </row>
    <row r="11" spans="2:22" x14ac:dyDescent="0.25">
      <c r="B11" s="13"/>
      <c r="C11" s="18" t="s">
        <v>35</v>
      </c>
      <c r="D11" s="68">
        <v>1</v>
      </c>
      <c r="E11"/>
      <c r="F11" s="18" t="s">
        <v>36</v>
      </c>
      <c r="G11" s="68">
        <v>1</v>
      </c>
      <c r="H11" s="14"/>
    </row>
    <row r="12" spans="2:22" x14ac:dyDescent="0.25">
      <c r="B12" s="13"/>
      <c r="C12" s="18" t="s">
        <v>37</v>
      </c>
      <c r="D12" s="68">
        <v>1</v>
      </c>
      <c r="E12"/>
      <c r="F12" s="18" t="s">
        <v>38</v>
      </c>
      <c r="G12" s="68">
        <v>1</v>
      </c>
      <c r="H12" s="14"/>
    </row>
    <row r="13" spans="2:22" x14ac:dyDescent="0.25">
      <c r="B13" s="13"/>
      <c r="C13" s="18" t="s">
        <v>39</v>
      </c>
      <c r="D13" s="68">
        <v>1</v>
      </c>
      <c r="E13"/>
      <c r="F13" s="44" t="s">
        <v>40</v>
      </c>
      <c r="G13" s="43"/>
      <c r="H13" s="14"/>
    </row>
    <row r="14" spans="2:22" x14ac:dyDescent="0.25">
      <c r="B14" s="13"/>
      <c r="E14"/>
      <c r="F14" s="45" t="s">
        <v>41</v>
      </c>
      <c r="G14" s="46"/>
      <c r="H14" s="14"/>
    </row>
    <row r="15" spans="2:22" x14ac:dyDescent="0.25">
      <c r="B15" s="13"/>
      <c r="E15"/>
      <c r="H15" s="14"/>
    </row>
    <row r="16" spans="2:22" x14ac:dyDescent="0.25">
      <c r="B16" s="13"/>
      <c r="C16" s="21" t="s">
        <v>42</v>
      </c>
      <c r="D16" s="21" t="s">
        <v>33</v>
      </c>
      <c r="E16"/>
      <c r="F16" s="22" t="s">
        <v>43</v>
      </c>
      <c r="G16" s="22" t="s">
        <v>31</v>
      </c>
      <c r="H16" s="14"/>
    </row>
    <row r="17" spans="2:8" x14ac:dyDescent="0.25">
      <c r="B17" s="13"/>
      <c r="C17" s="18" t="s">
        <v>44</v>
      </c>
      <c r="D17" s="68">
        <v>0</v>
      </c>
      <c r="E17"/>
      <c r="F17" s="18" t="s">
        <v>45</v>
      </c>
      <c r="G17" s="68">
        <v>0</v>
      </c>
      <c r="H17" s="14"/>
    </row>
    <row r="18" spans="2:8" x14ac:dyDescent="0.25">
      <c r="B18" s="13"/>
      <c r="C18" s="18" t="s">
        <v>46</v>
      </c>
      <c r="D18" s="68">
        <v>0</v>
      </c>
      <c r="E18"/>
      <c r="F18" s="37" t="s">
        <v>47</v>
      </c>
      <c r="G18" s="68">
        <v>0</v>
      </c>
      <c r="H18" s="14"/>
    </row>
    <row r="19" spans="2:8" x14ac:dyDescent="0.25">
      <c r="B19" s="13"/>
      <c r="C19" s="49"/>
      <c r="E19"/>
      <c r="F19" s="18" t="s">
        <v>48</v>
      </c>
      <c r="G19" s="68">
        <v>0</v>
      </c>
      <c r="H19" s="14"/>
    </row>
    <row r="20" spans="2:8" x14ac:dyDescent="0.25">
      <c r="B20" s="13"/>
      <c r="C20" s="49"/>
      <c r="E20"/>
      <c r="F20" s="18" t="s">
        <v>49</v>
      </c>
      <c r="G20" s="68">
        <v>0</v>
      </c>
      <c r="H20" s="14"/>
    </row>
    <row r="21" spans="2:8" x14ac:dyDescent="0.25">
      <c r="B21" s="13"/>
      <c r="C21" s="49" t="s">
        <v>50</v>
      </c>
      <c r="E21"/>
      <c r="F21"/>
      <c r="G21"/>
      <c r="H21" s="14"/>
    </row>
    <row r="22" spans="2:8" x14ac:dyDescent="0.25">
      <c r="B22" s="13"/>
      <c r="C22" s="93" t="s">
        <v>51</v>
      </c>
      <c r="D22" s="94"/>
      <c r="E22" s="94"/>
      <c r="F22" s="94"/>
      <c r="G22" s="95"/>
      <c r="H22" s="14"/>
    </row>
    <row r="23" spans="2:8" x14ac:dyDescent="0.25">
      <c r="B23" s="13"/>
      <c r="C23" s="96"/>
      <c r="D23" s="97"/>
      <c r="E23" s="97"/>
      <c r="F23" s="97"/>
      <c r="G23" s="98"/>
      <c r="H23" s="14"/>
    </row>
    <row r="24" spans="2:8" x14ac:dyDescent="0.25">
      <c r="B24" s="13"/>
      <c r="C24" s="96"/>
      <c r="D24" s="97"/>
      <c r="E24" s="97"/>
      <c r="F24" s="97"/>
      <c r="G24" s="98"/>
      <c r="H24" s="14"/>
    </row>
    <row r="25" spans="2:8" x14ac:dyDescent="0.25">
      <c r="B25" s="13"/>
      <c r="C25" s="99"/>
      <c r="D25" s="100"/>
      <c r="E25" s="100"/>
      <c r="F25" s="100"/>
      <c r="G25" s="101"/>
      <c r="H25" s="14"/>
    </row>
    <row r="26" spans="2:8" ht="15.75" thickBot="1" x14ac:dyDescent="0.3">
      <c r="B26" s="15"/>
      <c r="C26" s="16"/>
      <c r="D26" s="16"/>
      <c r="E26" s="16"/>
      <c r="F26" s="16"/>
      <c r="G26" s="16"/>
      <c r="H26" s="17"/>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33" priority="18">
      <formula>LEN(TRIM(D11))=0</formula>
    </cfRule>
  </conditionalFormatting>
  <conditionalFormatting sqref="C22">
    <cfRule type="containsBlanks" dxfId="32" priority="14">
      <formula>LEN(TRIM(C22))=0</formula>
    </cfRule>
  </conditionalFormatting>
  <conditionalFormatting sqref="D17:D18">
    <cfRule type="containsBlanks" dxfId="31" priority="10">
      <formula>LEN(TRIM(D17))=0</formula>
    </cfRule>
  </conditionalFormatting>
  <conditionalFormatting sqref="G10:G12">
    <cfRule type="containsBlanks" dxfId="30" priority="9">
      <formula>LEN(TRIM(G10))=0</formula>
    </cfRule>
  </conditionalFormatting>
  <conditionalFormatting sqref="G17:G20">
    <cfRule type="containsBlanks" dxfId="29" priority="8">
      <formula>LEN(TRIM(G17))=0</formula>
    </cfRule>
  </conditionalFormatting>
  <conditionalFormatting sqref="D7">
    <cfRule type="containsBlanks" dxfId="28" priority="5">
      <formula>LEN(TRIM(D7))=0</formula>
    </cfRule>
  </conditionalFormatting>
  <conditionalFormatting sqref="D7">
    <cfRule type="expression" dxfId="27" priority="4">
      <formula>OR($C$15="No",$C$15="N/A")</formula>
    </cfRule>
  </conditionalFormatting>
  <conditionalFormatting sqref="D7">
    <cfRule type="expression" dxfId="26" priority="3">
      <formula>OR($C$14="No",$C$14="N/A")</formula>
    </cfRule>
  </conditionalFormatting>
  <conditionalFormatting sqref="D7">
    <cfRule type="expression" dxfId="25" priority="2">
      <formula>OR($C$13="No",$C$13="N/A")</formula>
    </cfRule>
  </conditionalFormatting>
  <conditionalFormatting sqref="D7">
    <cfRule type="expression" dxfId="24" priority="1">
      <formula>OR($C$12="No",$C$12="N/A")</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4" zoomScale="69" zoomScaleNormal="69" workbookViewId="0">
      <selection activeCell="F28" sqref="F28:H33"/>
    </sheetView>
  </sheetViews>
  <sheetFormatPr baseColWidth="10" defaultColWidth="11.42578125"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2</v>
      </c>
    </row>
    <row r="4" spans="2:23" x14ac:dyDescent="0.25">
      <c r="B4" s="13"/>
      <c r="I4" s="14"/>
    </row>
    <row r="5" spans="2:23" ht="9" customHeight="1" x14ac:dyDescent="0.25">
      <c r="B5" s="13"/>
      <c r="I5" s="14"/>
    </row>
    <row r="6" spans="2:23" ht="19.5" customHeight="1" x14ac:dyDescent="0.25">
      <c r="B6" s="13"/>
      <c r="C6" s="106" t="s">
        <v>52</v>
      </c>
      <c r="D6" s="106"/>
      <c r="E6" s="106"/>
      <c r="F6" s="106"/>
      <c r="G6" s="106"/>
      <c r="H6" s="106"/>
      <c r="I6" s="27"/>
    </row>
    <row r="7" spans="2:23" x14ac:dyDescent="0.25">
      <c r="B7" s="13"/>
      <c r="E7" s="71" t="s">
        <v>5</v>
      </c>
      <c r="I7" s="14"/>
      <c r="U7" s="1" t="s">
        <v>6</v>
      </c>
    </row>
    <row r="8" spans="2:23" x14ac:dyDescent="0.25">
      <c r="B8" s="13"/>
      <c r="C8" s="21" t="s">
        <v>7</v>
      </c>
      <c r="D8" s="69">
        <v>44624</v>
      </c>
      <c r="E8"/>
      <c r="F8" s="31" t="s">
        <v>53</v>
      </c>
      <c r="G8" s="31" t="s">
        <v>54</v>
      </c>
      <c r="I8" s="14"/>
      <c r="U8" s="1" t="s">
        <v>8</v>
      </c>
    </row>
    <row r="9" spans="2:23" x14ac:dyDescent="0.25">
      <c r="B9" s="13"/>
      <c r="E9"/>
      <c r="F9" s="18" t="s">
        <v>55</v>
      </c>
      <c r="G9" s="68">
        <v>0</v>
      </c>
      <c r="I9" s="14"/>
    </row>
    <row r="10" spans="2:23" x14ac:dyDescent="0.25">
      <c r="B10" s="13"/>
      <c r="C10" s="21" t="s">
        <v>56</v>
      </c>
      <c r="D10" s="21" t="s">
        <v>33</v>
      </c>
      <c r="E10"/>
      <c r="F10" s="18" t="s">
        <v>57</v>
      </c>
      <c r="G10" s="68">
        <v>0</v>
      </c>
      <c r="I10" s="14"/>
    </row>
    <row r="11" spans="2:23" x14ac:dyDescent="0.25">
      <c r="B11" s="13"/>
      <c r="C11" s="18" t="s">
        <v>58</v>
      </c>
      <c r="D11" s="68">
        <v>9</v>
      </c>
      <c r="E11"/>
      <c r="F11" s="18" t="s">
        <v>59</v>
      </c>
      <c r="G11" s="68">
        <v>0</v>
      </c>
      <c r="I11" s="14"/>
    </row>
    <row r="12" spans="2:23" x14ac:dyDescent="0.25">
      <c r="B12" s="13"/>
      <c r="C12" s="18" t="s">
        <v>60</v>
      </c>
      <c r="D12" s="68">
        <v>9</v>
      </c>
      <c r="E12"/>
      <c r="F12" s="32" t="s">
        <v>61</v>
      </c>
      <c r="I12" s="14"/>
    </row>
    <row r="13" spans="2:23" x14ac:dyDescent="0.25">
      <c r="B13" s="13"/>
      <c r="C13" s="18" t="s">
        <v>62</v>
      </c>
      <c r="D13" s="68">
        <v>0</v>
      </c>
      <c r="E13"/>
      <c r="F13" s="32" t="s">
        <v>63</v>
      </c>
      <c r="I13" s="14"/>
    </row>
    <row r="14" spans="2:23" x14ac:dyDescent="0.25">
      <c r="B14" s="13"/>
      <c r="C14" s="32" t="s">
        <v>64</v>
      </c>
      <c r="E14"/>
      <c r="F14" s="22" t="s">
        <v>65</v>
      </c>
      <c r="G14" s="22" t="s">
        <v>33</v>
      </c>
      <c r="I14" s="14"/>
    </row>
    <row r="15" spans="2:23" x14ac:dyDescent="0.25">
      <c r="B15" s="13"/>
      <c r="C15" s="21" t="s">
        <v>66</v>
      </c>
      <c r="D15" s="21" t="s">
        <v>33</v>
      </c>
      <c r="E15"/>
      <c r="F15" s="18" t="s">
        <v>67</v>
      </c>
      <c r="G15" s="68">
        <v>9</v>
      </c>
      <c r="I15" s="14"/>
    </row>
    <row r="16" spans="2:23" x14ac:dyDescent="0.25">
      <c r="B16" s="13"/>
      <c r="C16" s="18" t="s">
        <v>68</v>
      </c>
      <c r="D16" s="68">
        <v>2</v>
      </c>
      <c r="E16"/>
      <c r="F16" s="18" t="s">
        <v>69</v>
      </c>
      <c r="G16" s="68">
        <v>0</v>
      </c>
      <c r="I16" s="14"/>
    </row>
    <row r="17" spans="2:9" x14ac:dyDescent="0.25">
      <c r="B17" s="13"/>
      <c r="C17" s="18" t="s">
        <v>70</v>
      </c>
      <c r="D17" s="68">
        <v>2</v>
      </c>
      <c r="E17"/>
      <c r="F17" s="18" t="s">
        <v>71</v>
      </c>
      <c r="G17" s="68">
        <v>9</v>
      </c>
      <c r="I17" s="14"/>
    </row>
    <row r="18" spans="2:9" x14ac:dyDescent="0.25">
      <c r="B18" s="13"/>
      <c r="C18" s="32" t="s">
        <v>72</v>
      </c>
      <c r="E18"/>
      <c r="F18" s="18" t="s">
        <v>73</v>
      </c>
      <c r="G18" s="68">
        <v>0</v>
      </c>
      <c r="I18" s="14"/>
    </row>
    <row r="19" spans="2:9" x14ac:dyDescent="0.25">
      <c r="B19" s="13"/>
      <c r="E19"/>
      <c r="I19" s="14"/>
    </row>
    <row r="20" spans="2:9" ht="29.25" customHeight="1" x14ac:dyDescent="0.25">
      <c r="B20" s="13"/>
      <c r="C20" s="42" t="s">
        <v>74</v>
      </c>
      <c r="D20" s="42" t="s">
        <v>33</v>
      </c>
      <c r="E20"/>
      <c r="F20" s="33" t="s">
        <v>75</v>
      </c>
      <c r="G20" s="33" t="s">
        <v>76</v>
      </c>
      <c r="H20" s="34" t="s">
        <v>77</v>
      </c>
      <c r="I20" s="14"/>
    </row>
    <row r="21" spans="2:9" x14ac:dyDescent="0.25">
      <c r="B21" s="13"/>
      <c r="C21" s="51" t="s">
        <v>78</v>
      </c>
      <c r="D21" s="68">
        <v>12</v>
      </c>
      <c r="E21"/>
      <c r="F21" s="18" t="s">
        <v>79</v>
      </c>
      <c r="G21" s="68">
        <v>0</v>
      </c>
      <c r="H21" s="68"/>
      <c r="I21" s="14"/>
    </row>
    <row r="22" spans="2:9" ht="15" customHeight="1" x14ac:dyDescent="0.25">
      <c r="B22" s="13"/>
      <c r="C22" s="51" t="s">
        <v>80</v>
      </c>
      <c r="D22" s="68">
        <v>0</v>
      </c>
      <c r="E22"/>
      <c r="F22" s="18" t="s">
        <v>81</v>
      </c>
      <c r="G22" s="68">
        <v>6</v>
      </c>
      <c r="H22" s="68">
        <v>3</v>
      </c>
      <c r="I22" s="14"/>
    </row>
    <row r="23" spans="2:9" ht="24.75" x14ac:dyDescent="0.25">
      <c r="B23" s="13"/>
      <c r="C23" s="57" t="s">
        <v>82</v>
      </c>
      <c r="D23" s="57"/>
      <c r="E23"/>
      <c r="F23" s="18" t="s">
        <v>83</v>
      </c>
      <c r="G23" s="68">
        <v>0</v>
      </c>
      <c r="H23" s="68"/>
      <c r="I23" s="14"/>
    </row>
    <row r="24" spans="2:9" x14ac:dyDescent="0.25">
      <c r="B24" s="13"/>
      <c r="E24"/>
      <c r="F24" s="18" t="s">
        <v>84</v>
      </c>
      <c r="G24" s="68">
        <v>3</v>
      </c>
      <c r="H24" s="68">
        <v>2</v>
      </c>
      <c r="I24" s="14"/>
    </row>
    <row r="25" spans="2:9" ht="30" customHeight="1" x14ac:dyDescent="0.25">
      <c r="B25" s="13"/>
      <c r="C25" s="59" t="str">
        <f>"Seleccione "&amp;W3&amp;" procesos teminados en el  segundo semestre de 2021 y llene la siguiente tabla:"</f>
        <v>Seleccione 2 procesos teminados en el  segundo semestre de 2021 y llene la siguiente tabla:</v>
      </c>
      <c r="D25" s="54"/>
      <c r="E25"/>
      <c r="F25" s="107" t="s">
        <v>85</v>
      </c>
      <c r="G25" s="107"/>
      <c r="H25" s="107"/>
      <c r="I25" s="14"/>
    </row>
    <row r="26" spans="2:9" ht="15.75" thickBot="1" x14ac:dyDescent="0.3">
      <c r="B26" s="13"/>
      <c r="C26" s="55"/>
      <c r="D26" s="56"/>
      <c r="E26"/>
      <c r="F26" s="52"/>
      <c r="I26" s="14"/>
    </row>
    <row r="27" spans="2:9" x14ac:dyDescent="0.25">
      <c r="B27" s="13"/>
      <c r="C27" s="42" t="s">
        <v>86</v>
      </c>
      <c r="D27" s="42" t="s">
        <v>33</v>
      </c>
      <c r="E27"/>
      <c r="F27" s="102" t="s">
        <v>87</v>
      </c>
      <c r="G27" s="103"/>
      <c r="H27" s="104"/>
      <c r="I27" s="14"/>
    </row>
    <row r="28" spans="2:9" x14ac:dyDescent="0.25">
      <c r="B28" s="13"/>
      <c r="C28" s="18" t="s">
        <v>88</v>
      </c>
      <c r="D28" s="68">
        <v>2</v>
      </c>
      <c r="E28"/>
      <c r="F28" s="105" t="s">
        <v>193</v>
      </c>
      <c r="G28" s="105"/>
      <c r="H28" s="105"/>
      <c r="I28" s="14"/>
    </row>
    <row r="29" spans="2:9" x14ac:dyDescent="0.25">
      <c r="B29" s="13"/>
      <c r="C29" s="18" t="s">
        <v>89</v>
      </c>
      <c r="D29" s="68">
        <v>2</v>
      </c>
      <c r="E29"/>
      <c r="F29" s="105"/>
      <c r="G29" s="105"/>
      <c r="H29" s="105"/>
      <c r="I29" s="14"/>
    </row>
    <row r="30" spans="2:9" x14ac:dyDescent="0.25">
      <c r="B30" s="13"/>
      <c r="C30" s="18" t="s">
        <v>90</v>
      </c>
      <c r="D30" s="68">
        <v>0</v>
      </c>
      <c r="E30"/>
      <c r="F30" s="105"/>
      <c r="G30" s="105"/>
      <c r="H30" s="105"/>
      <c r="I30" s="14"/>
    </row>
    <row r="31" spans="2:9" x14ac:dyDescent="0.25">
      <c r="B31" s="13"/>
      <c r="C31" s="18" t="s">
        <v>91</v>
      </c>
      <c r="D31" s="68">
        <v>0</v>
      </c>
      <c r="E31"/>
      <c r="F31" s="105"/>
      <c r="G31" s="105"/>
      <c r="H31" s="105"/>
      <c r="I31" s="14"/>
    </row>
    <row r="32" spans="2:9" x14ac:dyDescent="0.25">
      <c r="B32" s="13"/>
      <c r="C32" s="18" t="s">
        <v>92</v>
      </c>
      <c r="D32" s="68">
        <v>0</v>
      </c>
      <c r="E32"/>
      <c r="F32" s="105"/>
      <c r="G32" s="105"/>
      <c r="H32" s="105"/>
      <c r="I32" s="14"/>
    </row>
    <row r="33" spans="2:9" x14ac:dyDescent="0.25">
      <c r="B33" s="13"/>
      <c r="E33"/>
      <c r="F33" s="105"/>
      <c r="G33" s="105"/>
      <c r="H33" s="105"/>
      <c r="I33" s="14"/>
    </row>
    <row r="34" spans="2:9" ht="15.75" thickBot="1" x14ac:dyDescent="0.3">
      <c r="B34" s="15"/>
      <c r="C34" s="16"/>
      <c r="D34" s="16"/>
      <c r="E34" s="16"/>
      <c r="F34" s="16"/>
      <c r="G34" s="16"/>
      <c r="H34" s="16"/>
      <c r="I34" s="17"/>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4" workbookViewId="0">
      <selection activeCell="D20" sqref="D20"/>
    </sheetView>
  </sheetViews>
  <sheetFormatPr baseColWidth="10" defaultColWidth="11.42578125"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5">
        <f>+IF(V2&lt;=20,V2,IF(ROUNDDOWN(V2*10%,0)&lt;20,20,ROUNDDOWN(V2*10%,0)))</f>
        <v>0</v>
      </c>
    </row>
    <row r="4" spans="2:22" x14ac:dyDescent="0.25">
      <c r="B4" s="13"/>
      <c r="H4" s="14"/>
    </row>
    <row r="5" spans="2:22" x14ac:dyDescent="0.25">
      <c r="B5" s="13"/>
      <c r="H5" s="14"/>
    </row>
    <row r="6" spans="2:22" ht="15" customHeight="1" x14ac:dyDescent="0.25">
      <c r="B6" s="13"/>
      <c r="G6" s="26"/>
      <c r="H6" s="27"/>
    </row>
    <row r="7" spans="2:22" ht="23.25" x14ac:dyDescent="0.25">
      <c r="B7" s="13"/>
      <c r="C7" s="106" t="s">
        <v>93</v>
      </c>
      <c r="D7" s="106"/>
      <c r="E7" s="106"/>
      <c r="F7" s="106"/>
      <c r="G7" s="106"/>
      <c r="H7" s="27"/>
    </row>
    <row r="8" spans="2:22" x14ac:dyDescent="0.25">
      <c r="B8" s="13"/>
      <c r="E8" s="74" t="s">
        <v>5</v>
      </c>
      <c r="H8" s="14"/>
      <c r="T8" s="1" t="s">
        <v>6</v>
      </c>
    </row>
    <row r="9" spans="2:22" ht="15" customHeight="1" x14ac:dyDescent="0.25">
      <c r="B9" s="13"/>
      <c r="C9" s="21" t="s">
        <v>94</v>
      </c>
      <c r="D9" s="21" t="s">
        <v>33</v>
      </c>
      <c r="E9"/>
      <c r="F9" s="89" t="str">
        <f>"Seleccione una muestra de "&amp;V3&amp;" prejudiciales activos registrados antes de 1 de julio de 2021 y complete la siguiente tabla"</f>
        <v>Seleccione una muestra de 0 prejudiciales activos registrados antes de 1 de julio de 2021 y complete la siguiente tabla</v>
      </c>
      <c r="G9" s="90"/>
      <c r="H9" s="14"/>
      <c r="T9" s="1" t="s">
        <v>8</v>
      </c>
    </row>
    <row r="10" spans="2:22" x14ac:dyDescent="0.25">
      <c r="B10" s="13"/>
      <c r="C10" s="18" t="s">
        <v>95</v>
      </c>
      <c r="D10" s="68">
        <v>0</v>
      </c>
      <c r="E10"/>
      <c r="F10" s="91"/>
      <c r="G10" s="92"/>
      <c r="H10" s="14"/>
    </row>
    <row r="11" spans="2:22" x14ac:dyDescent="0.25">
      <c r="B11" s="13"/>
      <c r="C11" s="18" t="s">
        <v>96</v>
      </c>
      <c r="D11" s="68">
        <v>2</v>
      </c>
      <c r="E11"/>
      <c r="F11" s="22" t="s">
        <v>74</v>
      </c>
      <c r="G11" s="22" t="s">
        <v>97</v>
      </c>
      <c r="H11" s="14"/>
    </row>
    <row r="12" spans="2:22" x14ac:dyDescent="0.25">
      <c r="B12" s="13"/>
      <c r="C12" s="18" t="s">
        <v>98</v>
      </c>
      <c r="D12" s="68">
        <v>0</v>
      </c>
      <c r="E12"/>
      <c r="F12" s="30" t="s">
        <v>99</v>
      </c>
      <c r="G12" s="68">
        <v>0</v>
      </c>
      <c r="H12" s="14"/>
    </row>
    <row r="13" spans="2:22" x14ac:dyDescent="0.25">
      <c r="B13" s="13"/>
      <c r="C13" s="18" t="s">
        <v>100</v>
      </c>
      <c r="D13" s="68">
        <v>0</v>
      </c>
      <c r="E13"/>
      <c r="F13" s="18" t="s">
        <v>101</v>
      </c>
      <c r="G13" s="68">
        <v>0</v>
      </c>
      <c r="H13" s="14"/>
    </row>
    <row r="14" spans="2:22" x14ac:dyDescent="0.25">
      <c r="B14" s="13"/>
      <c r="C14" s="18" t="s">
        <v>102</v>
      </c>
      <c r="D14" s="68">
        <v>0</v>
      </c>
      <c r="E14"/>
      <c r="F14"/>
      <c r="G14"/>
      <c r="H14" s="14"/>
    </row>
    <row r="15" spans="2:22" x14ac:dyDescent="0.25">
      <c r="B15" s="13"/>
      <c r="E15"/>
      <c r="F15"/>
      <c r="G15"/>
      <c r="H15" s="14"/>
    </row>
    <row r="16" spans="2:22" x14ac:dyDescent="0.25">
      <c r="B16" s="13"/>
      <c r="C16" s="21" t="s">
        <v>103</v>
      </c>
      <c r="D16" s="21" t="s">
        <v>33</v>
      </c>
      <c r="E16"/>
      <c r="F16" s="108" t="s">
        <v>87</v>
      </c>
      <c r="G16" s="108"/>
      <c r="H16" s="14"/>
    </row>
    <row r="17" spans="2:8" x14ac:dyDescent="0.25">
      <c r="B17" s="13"/>
      <c r="C17" s="18" t="s">
        <v>104</v>
      </c>
      <c r="D17" s="68">
        <v>0</v>
      </c>
      <c r="E17"/>
      <c r="F17" s="105" t="s">
        <v>194</v>
      </c>
      <c r="G17" s="105"/>
      <c r="H17" s="14"/>
    </row>
    <row r="18" spans="2:8" x14ac:dyDescent="0.25">
      <c r="B18" s="13"/>
      <c r="C18" s="18" t="s">
        <v>105</v>
      </c>
      <c r="D18" s="68">
        <v>0</v>
      </c>
      <c r="E18"/>
      <c r="F18" s="105"/>
      <c r="G18" s="105"/>
      <c r="H18" s="14"/>
    </row>
    <row r="19" spans="2:8" x14ac:dyDescent="0.25">
      <c r="B19" s="13"/>
      <c r="C19"/>
      <c r="D19"/>
      <c r="E19"/>
      <c r="F19" s="105"/>
      <c r="G19" s="105"/>
      <c r="H19" s="14"/>
    </row>
    <row r="20" spans="2:8" x14ac:dyDescent="0.25">
      <c r="B20" s="13"/>
      <c r="C20"/>
      <c r="D20"/>
      <c r="E20"/>
      <c r="F20" s="105"/>
      <c r="G20" s="105"/>
      <c r="H20" s="14"/>
    </row>
    <row r="21" spans="2:8" x14ac:dyDescent="0.25">
      <c r="B21" s="13"/>
      <c r="E21"/>
      <c r="F21" s="105"/>
      <c r="G21" s="105"/>
      <c r="H21" s="14"/>
    </row>
    <row r="22" spans="2:8" x14ac:dyDescent="0.25">
      <c r="B22" s="13"/>
      <c r="E22"/>
      <c r="F22" s="105"/>
      <c r="G22" s="105"/>
      <c r="H22" s="14"/>
    </row>
    <row r="23" spans="2:8" ht="15.75" thickBot="1" x14ac:dyDescent="0.3">
      <c r="B23" s="15"/>
      <c r="C23" s="16"/>
      <c r="D23" s="16"/>
      <c r="E23" s="16"/>
      <c r="F23" s="16"/>
      <c r="G23" s="16"/>
      <c r="H23" s="17"/>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H15" sqref="H15"/>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106</v>
      </c>
      <c r="D6" s="29"/>
      <c r="E6" s="24"/>
      <c r="F6"/>
      <c r="G6"/>
      <c r="H6" s="27"/>
    </row>
    <row r="7" spans="2:22" x14ac:dyDescent="0.25">
      <c r="B7" s="13"/>
      <c r="C7" s="1" t="s">
        <v>5</v>
      </c>
      <c r="F7"/>
      <c r="G7"/>
      <c r="H7" s="14"/>
      <c r="T7" s="1" t="s">
        <v>6</v>
      </c>
    </row>
    <row r="8" spans="2:22" x14ac:dyDescent="0.25">
      <c r="B8" s="13"/>
      <c r="C8" s="21" t="s">
        <v>106</v>
      </c>
      <c r="D8" s="21" t="s">
        <v>33</v>
      </c>
      <c r="E8"/>
      <c r="F8" s="21" t="s">
        <v>106</v>
      </c>
      <c r="G8" s="21" t="s">
        <v>33</v>
      </c>
      <c r="H8" s="14"/>
      <c r="T8" s="1" t="s">
        <v>8</v>
      </c>
    </row>
    <row r="9" spans="2:22" x14ac:dyDescent="0.25">
      <c r="B9" s="13"/>
      <c r="C9" s="18" t="s">
        <v>107</v>
      </c>
      <c r="D9" s="68">
        <v>0</v>
      </c>
      <c r="E9"/>
      <c r="F9" s="18" t="s">
        <v>108</v>
      </c>
      <c r="G9" s="68">
        <v>0</v>
      </c>
      <c r="H9" s="14"/>
    </row>
    <row r="10" spans="2:22" x14ac:dyDescent="0.25">
      <c r="B10" s="13"/>
      <c r="C10" s="18" t="s">
        <v>109</v>
      </c>
      <c r="D10" s="68">
        <v>0</v>
      </c>
      <c r="E10"/>
      <c r="F10" s="18" t="s">
        <v>110</v>
      </c>
      <c r="G10" s="68">
        <v>0</v>
      </c>
      <c r="H10" s="14"/>
    </row>
    <row r="11" spans="2:22" x14ac:dyDescent="0.25">
      <c r="B11" s="13"/>
      <c r="D11" s="47"/>
      <c r="E11"/>
      <c r="G11" s="48"/>
      <c r="H11" s="14"/>
    </row>
    <row r="12" spans="2:22" x14ac:dyDescent="0.25">
      <c r="B12" s="13"/>
      <c r="C12" s="49" t="s">
        <v>27</v>
      </c>
      <c r="D12" s="47"/>
      <c r="E12"/>
      <c r="G12" s="48"/>
      <c r="H12" s="14"/>
      <c r="T12" s="1">
        <f>IF(D9="",0,1)</f>
        <v>1</v>
      </c>
    </row>
    <row r="13" spans="2:22" x14ac:dyDescent="0.25">
      <c r="B13" s="13"/>
      <c r="C13" s="93" t="s">
        <v>111</v>
      </c>
      <c r="D13" s="94"/>
      <c r="E13" s="94"/>
      <c r="F13" s="94"/>
      <c r="G13" s="95"/>
      <c r="H13" s="14"/>
    </row>
    <row r="14" spans="2:22" x14ac:dyDescent="0.25">
      <c r="B14" s="13"/>
      <c r="C14" s="96"/>
      <c r="D14" s="97"/>
      <c r="E14" s="97"/>
      <c r="F14" s="97"/>
      <c r="G14" s="98"/>
      <c r="H14" s="14"/>
    </row>
    <row r="15" spans="2:22" x14ac:dyDescent="0.25">
      <c r="B15" s="13"/>
      <c r="C15" s="96"/>
      <c r="D15" s="97"/>
      <c r="E15" s="97"/>
      <c r="F15" s="97"/>
      <c r="G15" s="98"/>
      <c r="H15" s="14"/>
    </row>
    <row r="16" spans="2:22" x14ac:dyDescent="0.25">
      <c r="B16" s="13"/>
      <c r="C16" s="99"/>
      <c r="D16" s="100"/>
      <c r="E16" s="100"/>
      <c r="F16" s="100"/>
      <c r="G16" s="101"/>
      <c r="H16" s="14"/>
      <c r="T16" s="1">
        <f>IF(G9="",0,1)</f>
        <v>1</v>
      </c>
    </row>
    <row r="17" spans="2:20" ht="15.75" thickBot="1" x14ac:dyDescent="0.3">
      <c r="B17" s="15"/>
      <c r="C17" s="16"/>
      <c r="D17" s="16"/>
      <c r="E17" s="16"/>
      <c r="F17" s="16"/>
      <c r="G17" s="16"/>
      <c r="H17" s="17"/>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E15" sqref="E15"/>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21.75" customHeight="1" x14ac:dyDescent="0.35">
      <c r="B6" s="13"/>
      <c r="C6" s="106" t="s">
        <v>112</v>
      </c>
      <c r="D6" s="106"/>
      <c r="E6" s="24"/>
      <c r="F6"/>
      <c r="G6"/>
      <c r="H6" s="27"/>
      <c r="T6" s="1" t="s">
        <v>4</v>
      </c>
    </row>
    <row r="7" spans="2:22" x14ac:dyDescent="0.25">
      <c r="B7" s="13"/>
      <c r="C7" s="1" t="s">
        <v>5</v>
      </c>
      <c r="F7" s="50" t="s">
        <v>27</v>
      </c>
      <c r="G7"/>
      <c r="H7" s="14"/>
      <c r="T7" s="1" t="s">
        <v>6</v>
      </c>
    </row>
    <row r="8" spans="2:22" x14ac:dyDescent="0.25">
      <c r="B8" s="13"/>
      <c r="C8" s="21" t="s">
        <v>113</v>
      </c>
      <c r="D8" s="21" t="s">
        <v>33</v>
      </c>
      <c r="E8"/>
      <c r="F8" s="93" t="s">
        <v>114</v>
      </c>
      <c r="G8" s="95"/>
      <c r="H8" s="14"/>
      <c r="T8" s="1" t="s">
        <v>8</v>
      </c>
    </row>
    <row r="9" spans="2:22" x14ac:dyDescent="0.25">
      <c r="B9" s="13"/>
      <c r="C9" s="18" t="s">
        <v>115</v>
      </c>
      <c r="D9" s="68" t="s">
        <v>6</v>
      </c>
      <c r="E9"/>
      <c r="F9" s="96"/>
      <c r="G9" s="98"/>
      <c r="H9" s="14"/>
    </row>
    <row r="10" spans="2:22" x14ac:dyDescent="0.25">
      <c r="B10" s="13"/>
      <c r="C10" s="18" t="s">
        <v>116</v>
      </c>
      <c r="D10" s="68">
        <v>0</v>
      </c>
      <c r="E10"/>
      <c r="F10" s="99"/>
      <c r="G10" s="101"/>
      <c r="H10" s="14"/>
    </row>
    <row r="11" spans="2:22" ht="15.75" thickBot="1" x14ac:dyDescent="0.3">
      <c r="B11" s="15"/>
      <c r="C11" s="16"/>
      <c r="D11" s="16"/>
      <c r="E11" s="16"/>
      <c r="F11" s="16"/>
      <c r="G11" s="16"/>
      <c r="H11" s="17"/>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topLeftCell="A7" workbookViewId="0">
      <selection activeCell="B23" sqref="B23:F26"/>
    </sheetView>
  </sheetViews>
  <sheetFormatPr baseColWidth="10" defaultColWidth="11.42578125"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0" t="s">
        <v>117</v>
      </c>
      <c r="C2" s="110"/>
      <c r="D2" s="110"/>
      <c r="E2" s="110"/>
      <c r="F2" s="110"/>
      <c r="G2" s="110"/>
      <c r="H2" s="39"/>
      <c r="I2" s="39"/>
      <c r="J2" s="39"/>
      <c r="K2" s="39"/>
      <c r="L2" s="39"/>
      <c r="M2" s="40"/>
    </row>
    <row r="3" spans="2:13" ht="18.75" x14ac:dyDescent="0.3">
      <c r="B3" s="110" t="s">
        <v>1</v>
      </c>
      <c r="C3" s="110"/>
      <c r="D3" s="110"/>
      <c r="E3" s="110"/>
      <c r="F3" s="110"/>
      <c r="G3" s="110"/>
      <c r="H3" s="39"/>
      <c r="I3" s="39"/>
      <c r="J3" s="39"/>
      <c r="K3" s="39"/>
      <c r="L3" s="39"/>
      <c r="M3" s="40"/>
    </row>
    <row r="4" spans="2:13" ht="23.25" x14ac:dyDescent="0.35">
      <c r="B4" s="35"/>
      <c r="C4" s="75"/>
      <c r="D4" s="75" t="s">
        <v>118</v>
      </c>
      <c r="E4" s="35"/>
      <c r="F4" s="35"/>
      <c r="G4" s="35"/>
      <c r="H4" s="35"/>
      <c r="I4" s="35"/>
      <c r="J4" s="35"/>
      <c r="K4" s="35"/>
      <c r="L4" s="35"/>
      <c r="M4" s="35"/>
    </row>
    <row r="5" spans="2:13" ht="15.75" thickBot="1" x14ac:dyDescent="0.3">
      <c r="B5" t="s">
        <v>119</v>
      </c>
      <c r="C5" s="109" t="s">
        <v>120</v>
      </c>
      <c r="D5" s="109"/>
      <c r="E5" s="109"/>
      <c r="F5" s="109"/>
      <c r="G5" s="109"/>
    </row>
    <row r="6" spans="2:13" ht="15.75" thickBot="1" x14ac:dyDescent="0.3">
      <c r="B6" t="s">
        <v>121</v>
      </c>
      <c r="C6" s="109" t="s">
        <v>23</v>
      </c>
      <c r="D6" s="109"/>
      <c r="E6" s="109"/>
      <c r="F6" s="109"/>
      <c r="G6" s="109"/>
    </row>
    <row r="8" spans="2:13" x14ac:dyDescent="0.25">
      <c r="B8" t="s">
        <v>122</v>
      </c>
      <c r="C8" s="38" t="str">
        <f>+IF(SUM(USUARIOS!I12:J17)=0,"Falta diligenciar","")</f>
        <v/>
      </c>
      <c r="E8" t="s">
        <v>123</v>
      </c>
      <c r="F8" s="38" t="str">
        <f>+IF(PREJUDICIALES!$D$10="","Falta  actualizar","")</f>
        <v/>
      </c>
    </row>
    <row r="9" spans="2:13" x14ac:dyDescent="0.25">
      <c r="B9" s="37" t="s">
        <v>124</v>
      </c>
      <c r="C9" s="73">
        <f>+SUM(USUARIOS!I12:I17)/(6-SUM(USUARIOS!H12:H17))</f>
        <v>1</v>
      </c>
      <c r="E9" s="37" t="s">
        <v>125</v>
      </c>
      <c r="F9" s="72">
        <f>+PREJUDICIALES!$D$11</f>
        <v>2</v>
      </c>
    </row>
    <row r="10" spans="2:13" x14ac:dyDescent="0.25">
      <c r="B10" s="37" t="s">
        <v>126</v>
      </c>
      <c r="C10" s="72">
        <f>+ABOGADOS!$D$12+SUM(USUARIOS!I12:I17)</f>
        <v>7</v>
      </c>
      <c r="E10" s="37" t="s">
        <v>127</v>
      </c>
      <c r="F10" s="73" t="str">
        <f>IFERROR(PREJUDICIALES!$D$11/PREJUDICIALES!$D$10,"")</f>
        <v/>
      </c>
    </row>
    <row r="11" spans="2:13" x14ac:dyDescent="0.25">
      <c r="B11" s="37" t="s">
        <v>128</v>
      </c>
      <c r="C11" s="72" t="s">
        <v>129</v>
      </c>
      <c r="E11" s="37" t="s">
        <v>130</v>
      </c>
      <c r="F11" s="73" t="str">
        <f>IFERROR(PREJUDICIALES!$G$13/PREJUDICIALES!$V$3,"")</f>
        <v/>
      </c>
    </row>
    <row r="12" spans="2:13" x14ac:dyDescent="0.25">
      <c r="B12" s="37" t="s">
        <v>131</v>
      </c>
      <c r="C12" s="73">
        <f>IFERROR((ABOGADOS!$G$17+ABOGADOS!$G$18+ABOGADOS!$G$19*0.5)/ABOGADOS!D12,"")</f>
        <v>0</v>
      </c>
    </row>
    <row r="13" spans="2:13" x14ac:dyDescent="0.25">
      <c r="E13" t="s">
        <v>106</v>
      </c>
      <c r="F13" s="38" t="str">
        <f>+IF(ARBITRAMENTOS!T17=0,"Falta  actualizar","")</f>
        <v/>
      </c>
    </row>
    <row r="14" spans="2:13" x14ac:dyDescent="0.25">
      <c r="B14" t="s">
        <v>132</v>
      </c>
      <c r="C14" s="38" t="str">
        <f>+IF(JUDICIALES!$D$11="","Falta  actualizar","")</f>
        <v/>
      </c>
      <c r="E14" s="37" t="s">
        <v>133</v>
      </c>
      <c r="F14" s="72">
        <f>+ARBITRAMENTOS!D10</f>
        <v>0</v>
      </c>
    </row>
    <row r="15" spans="2:13" x14ac:dyDescent="0.25">
      <c r="B15" s="37" t="s">
        <v>134</v>
      </c>
      <c r="C15" s="72">
        <f>+JUDICIALES!$D$12</f>
        <v>9</v>
      </c>
      <c r="E15" s="37" t="s">
        <v>127</v>
      </c>
      <c r="F15" s="73" t="str">
        <f>IFERROR(ARBITRAMENTOS!D10/ARBITRAMENTOS!D9,"")</f>
        <v/>
      </c>
    </row>
    <row r="16" spans="2:13" x14ac:dyDescent="0.25">
      <c r="B16" s="37" t="s">
        <v>127</v>
      </c>
      <c r="C16" s="73">
        <f>IFERROR(JUDICIALES!$D$12/JUDICIALES!$D$11,"")</f>
        <v>1</v>
      </c>
    </row>
    <row r="17" spans="2:6" x14ac:dyDescent="0.25">
      <c r="B17" s="37" t="s">
        <v>135</v>
      </c>
      <c r="C17" s="73" t="str">
        <f>IFERROR(JUDICIALES!$G$11/JUDICIALES!$G$10,"")</f>
        <v/>
      </c>
      <c r="E17" t="s">
        <v>136</v>
      </c>
      <c r="F17" s="38" t="str">
        <f>+IF(PAGOS!D9="","Falta  actualizar","")</f>
        <v/>
      </c>
    </row>
    <row r="18" spans="2:6" x14ac:dyDescent="0.25">
      <c r="B18" s="37" t="s">
        <v>137</v>
      </c>
      <c r="C18" s="72">
        <f>IFERROR(C15/ABOGADOS!$D$12,"")</f>
        <v>9</v>
      </c>
      <c r="E18" s="37" t="s">
        <v>138</v>
      </c>
      <c r="F18" s="72">
        <f>+PAGOS!D10</f>
        <v>0</v>
      </c>
    </row>
    <row r="19" spans="2:6" x14ac:dyDescent="0.25">
      <c r="B19" s="37" t="s">
        <v>139</v>
      </c>
      <c r="C19" s="73">
        <f>IFERROR(1-(JUDICIALES!$H$22+JUDICIALES!$H$23+JUDICIALES!$H$24)/(JUDICIALES!$G$22+JUDICIALES!$G$23+JUDICIALES!$G$24),"")</f>
        <v>0.44444444444444442</v>
      </c>
      <c r="E19" s="37" t="s">
        <v>140</v>
      </c>
      <c r="F19" s="72" t="str">
        <f>+IF(PAGOS!D9="No","No aplica","si")</f>
        <v>No aplica</v>
      </c>
    </row>
    <row r="21" spans="2:6" ht="15.75" thickBot="1" x14ac:dyDescent="0.3"/>
    <row r="22" spans="2:6" x14ac:dyDescent="0.25">
      <c r="B22" s="2" t="s">
        <v>27</v>
      </c>
      <c r="C22" s="3"/>
      <c r="D22" s="3"/>
      <c r="E22" s="3"/>
      <c r="F22" s="4"/>
    </row>
    <row r="23" spans="2:6" x14ac:dyDescent="0.25">
      <c r="B23" s="93" t="s">
        <v>141</v>
      </c>
      <c r="C23" s="94"/>
      <c r="D23" s="94"/>
      <c r="E23" s="94"/>
      <c r="F23" s="95"/>
    </row>
    <row r="24" spans="2:6" x14ac:dyDescent="0.25">
      <c r="B24" s="96"/>
      <c r="C24" s="97"/>
      <c r="D24" s="97"/>
      <c r="E24" s="97"/>
      <c r="F24" s="98"/>
    </row>
    <row r="25" spans="2:6" x14ac:dyDescent="0.25">
      <c r="B25" s="96"/>
      <c r="C25" s="97"/>
      <c r="D25" s="97"/>
      <c r="E25" s="97"/>
      <c r="F25" s="98"/>
    </row>
    <row r="26" spans="2:6" x14ac:dyDescent="0.25">
      <c r="B26" s="99"/>
      <c r="C26" s="100"/>
      <c r="D26" s="100"/>
      <c r="E26" s="100"/>
      <c r="F26" s="101"/>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142</v>
      </c>
      <c r="B2" s="63" t="s">
        <v>143</v>
      </c>
      <c r="C2" s="63" t="s">
        <v>35</v>
      </c>
      <c r="D2" s="63" t="s">
        <v>37</v>
      </c>
      <c r="E2" s="63" t="s">
        <v>39</v>
      </c>
      <c r="F2" s="63" t="s">
        <v>144</v>
      </c>
      <c r="G2" s="63" t="s">
        <v>145</v>
      </c>
      <c r="H2" s="63" t="s">
        <v>146</v>
      </c>
      <c r="I2" s="64" t="s">
        <v>147</v>
      </c>
      <c r="J2" s="64" t="s">
        <v>148</v>
      </c>
      <c r="K2" s="64" t="s">
        <v>149</v>
      </c>
      <c r="L2" s="64" t="s">
        <v>150</v>
      </c>
      <c r="M2" s="64" t="s">
        <v>151</v>
      </c>
      <c r="N2" s="64" t="s">
        <v>152</v>
      </c>
      <c r="O2" s="64" t="s">
        <v>153</v>
      </c>
      <c r="P2" s="63" t="s">
        <v>58</v>
      </c>
      <c r="Q2" s="63" t="s">
        <v>60</v>
      </c>
      <c r="R2" s="63" t="s">
        <v>154</v>
      </c>
      <c r="S2" s="63" t="s">
        <v>155</v>
      </c>
      <c r="T2" s="63" t="s">
        <v>156</v>
      </c>
      <c r="U2" s="63" t="s">
        <v>157</v>
      </c>
      <c r="V2" s="63" t="s">
        <v>158</v>
      </c>
      <c r="W2" s="63" t="s">
        <v>88</v>
      </c>
      <c r="X2" s="63" t="s">
        <v>89</v>
      </c>
      <c r="Y2" s="63" t="s">
        <v>90</v>
      </c>
      <c r="Z2" s="63" t="s">
        <v>91</v>
      </c>
      <c r="AA2" s="63" t="s">
        <v>92</v>
      </c>
      <c r="AB2" s="64" t="s">
        <v>159</v>
      </c>
      <c r="AC2" s="64" t="s">
        <v>160</v>
      </c>
      <c r="AD2" s="64" t="s">
        <v>161</v>
      </c>
      <c r="AE2" s="63" t="s">
        <v>162</v>
      </c>
      <c r="AF2" s="63" t="s">
        <v>163</v>
      </c>
      <c r="AG2" s="63" t="s">
        <v>164</v>
      </c>
      <c r="AH2" s="63" t="s">
        <v>73</v>
      </c>
      <c r="AI2" s="63" t="s">
        <v>165</v>
      </c>
      <c r="AJ2" s="63" t="s">
        <v>166</v>
      </c>
      <c r="AK2" s="63" t="s">
        <v>167</v>
      </c>
      <c r="AL2" s="63" t="s">
        <v>168</v>
      </c>
      <c r="AM2" s="63" t="s">
        <v>169</v>
      </c>
      <c r="AN2" s="63" t="s">
        <v>170</v>
      </c>
      <c r="AO2" s="63" t="s">
        <v>171</v>
      </c>
      <c r="AP2" s="63" t="s">
        <v>172</v>
      </c>
      <c r="AQ2" s="65" t="s">
        <v>95</v>
      </c>
      <c r="AR2" s="65" t="s">
        <v>96</v>
      </c>
      <c r="AS2" s="65" t="s">
        <v>173</v>
      </c>
      <c r="AT2" s="65" t="s">
        <v>174</v>
      </c>
      <c r="AU2" s="65" t="s">
        <v>175</v>
      </c>
      <c r="AV2" s="65" t="s">
        <v>176</v>
      </c>
      <c r="AW2" s="65" t="s">
        <v>177</v>
      </c>
      <c r="AX2" s="65" t="s">
        <v>99</v>
      </c>
      <c r="AY2" s="65" t="s">
        <v>178</v>
      </c>
      <c r="AZ2" s="65" t="s">
        <v>179</v>
      </c>
      <c r="BA2" s="65" t="s">
        <v>109</v>
      </c>
      <c r="BB2" s="66" t="s">
        <v>180</v>
      </c>
      <c r="BC2" s="66" t="s">
        <v>110</v>
      </c>
      <c r="BD2" s="67" t="s">
        <v>181</v>
      </c>
      <c r="BE2" s="67" t="s">
        <v>182</v>
      </c>
      <c r="BF2" s="67" t="s">
        <v>183</v>
      </c>
      <c r="BG2" s="67" t="s">
        <v>184</v>
      </c>
      <c r="BH2" s="67" t="s">
        <v>185</v>
      </c>
      <c r="BI2" s="67" t="s">
        <v>186</v>
      </c>
      <c r="BJ2" s="67" t="s">
        <v>187</v>
      </c>
      <c r="BK2" s="67" t="s">
        <v>188</v>
      </c>
      <c r="BL2" s="67" t="s">
        <v>189</v>
      </c>
      <c r="BM2" s="67" t="s">
        <v>190</v>
      </c>
      <c r="BN2" s="67" t="s">
        <v>191</v>
      </c>
      <c r="BO2" s="67" t="s">
        <v>192</v>
      </c>
    </row>
    <row r="3" spans="1:67" x14ac:dyDescent="0.25">
      <c r="A3" s="60" t="str">
        <f>'Resumen General'!C5</f>
        <v>ARCHIVO GENERAL DE LA NACIÓN</v>
      </c>
      <c r="B3" s="60" t="str">
        <f>'Resumen General'!C6</f>
        <v>JUAN MANUEL MANRIQUE RAMÍREZ</v>
      </c>
      <c r="C3" s="60">
        <f>+ABOGADOS!D11</f>
        <v>1</v>
      </c>
      <c r="D3" s="60">
        <f>+ABOGADOS!D12</f>
        <v>1</v>
      </c>
      <c r="E3" s="60">
        <f>+ABOGADOS!D13</f>
        <v>1</v>
      </c>
      <c r="F3" s="60">
        <f>+ABOGADOS!D14</f>
        <v>0</v>
      </c>
      <c r="G3" s="60">
        <f>+ABOGADOS!D17</f>
        <v>0</v>
      </c>
      <c r="H3" s="60">
        <f>+ABOGADOS!D18</f>
        <v>0</v>
      </c>
      <c r="I3" s="60">
        <f>+ABOGADOS!G10</f>
        <v>1</v>
      </c>
      <c r="J3" s="60">
        <f>+ABOGADOS!G11</f>
        <v>1</v>
      </c>
      <c r="K3" s="60">
        <f>+ABOGADOS!G12</f>
        <v>1</v>
      </c>
      <c r="L3" s="60">
        <f>+ABOGADOS!G17</f>
        <v>0</v>
      </c>
      <c r="M3" s="60">
        <f>+ABOGADOS!G18</f>
        <v>0</v>
      </c>
      <c r="N3" s="60">
        <f>+ABOGADOS!G19</f>
        <v>0</v>
      </c>
      <c r="O3" s="60">
        <f>+ABOGADOS!G21</f>
        <v>0</v>
      </c>
      <c r="P3" s="60">
        <f>+JUDICIALES!D11</f>
        <v>9</v>
      </c>
      <c r="Q3" s="60">
        <f>+JUDICIALES!D12</f>
        <v>9</v>
      </c>
      <c r="R3" s="60">
        <f>+JUDICIALES!D13</f>
        <v>0</v>
      </c>
      <c r="S3" s="60">
        <f>+JUDICIALES!D16</f>
        <v>2</v>
      </c>
      <c r="T3" s="60">
        <f>+JUDICIALES!D17</f>
        <v>2</v>
      </c>
      <c r="U3" s="60">
        <f>+JUDICIALES!D21</f>
        <v>12</v>
      </c>
      <c r="V3" s="60">
        <f>+JUDICIALES!D22</f>
        <v>0</v>
      </c>
      <c r="W3" s="60">
        <f>JUDICIALES!D28</f>
        <v>2</v>
      </c>
      <c r="X3" s="60">
        <f>JUDICIALES!D29</f>
        <v>2</v>
      </c>
      <c r="Y3" s="60">
        <f>JUDICIALES!D30</f>
        <v>0</v>
      </c>
      <c r="Z3" s="60">
        <f>JUDICIALES!D31</f>
        <v>0</v>
      </c>
      <c r="AA3" s="60">
        <f>JUDICIALES!D32</f>
        <v>0</v>
      </c>
      <c r="AB3" s="60">
        <f>+JUDICIALES!G9</f>
        <v>0</v>
      </c>
      <c r="AC3" s="60">
        <f>+JUDICIALES!G10</f>
        <v>0</v>
      </c>
      <c r="AD3" s="60">
        <f>+JUDICIALES!G11</f>
        <v>0</v>
      </c>
      <c r="AE3" s="60">
        <f>+JUDICIALES!G15</f>
        <v>9</v>
      </c>
      <c r="AF3" s="60">
        <f>+JUDICIALES!G16</f>
        <v>0</v>
      </c>
      <c r="AG3" s="60">
        <f>+JUDICIALES!G17</f>
        <v>9</v>
      </c>
      <c r="AH3" s="60">
        <f>+JUDICIALES!G18</f>
        <v>0</v>
      </c>
      <c r="AI3" s="60">
        <f>+JUDICIALES!G21</f>
        <v>0</v>
      </c>
      <c r="AJ3" s="60">
        <f>+JUDICIALES!G22</f>
        <v>6</v>
      </c>
      <c r="AK3" s="60">
        <f>+JUDICIALES!G23</f>
        <v>0</v>
      </c>
      <c r="AL3" s="60">
        <f>+JUDICIALES!G24</f>
        <v>3</v>
      </c>
      <c r="AM3" s="60">
        <f>+JUDICIALES!H21</f>
        <v>0</v>
      </c>
      <c r="AN3" s="60">
        <f>+JUDICIALES!H22</f>
        <v>3</v>
      </c>
      <c r="AO3" s="60">
        <f>+JUDICIALES!H23</f>
        <v>0</v>
      </c>
      <c r="AP3" s="60">
        <f>+JUDICIALES!H24</f>
        <v>2</v>
      </c>
      <c r="AQ3" s="60">
        <f>+PREJUDICIALES!D10</f>
        <v>0</v>
      </c>
      <c r="AR3" s="60">
        <f>+PREJUDICIALES!D11</f>
        <v>2</v>
      </c>
      <c r="AS3" s="60">
        <f>+PREJUDICIALES!D12</f>
        <v>0</v>
      </c>
      <c r="AT3" s="60">
        <f>+PREJUDICIALES!D13</f>
        <v>0</v>
      </c>
      <c r="AU3" s="60">
        <f>+PREJUDICIALES!D14</f>
        <v>0</v>
      </c>
      <c r="AV3" s="60">
        <f>+PREJUDICIALES!D17</f>
        <v>0</v>
      </c>
      <c r="AW3" s="60">
        <f>+PREJUDICIALES!D18</f>
        <v>0</v>
      </c>
      <c r="AX3" s="60">
        <f>+PREJUDICIALES!G12</f>
        <v>0</v>
      </c>
      <c r="AY3" s="60">
        <f>+PREJUDICIALES!G13</f>
        <v>0</v>
      </c>
      <c r="AZ3" s="60">
        <f>+ARBITRAMENTOS!D9</f>
        <v>0</v>
      </c>
      <c r="BA3" s="60">
        <f>+ARBITRAMENTOS!D10</f>
        <v>0</v>
      </c>
      <c r="BB3" s="60">
        <f>ARBITRAMENTOS!G9</f>
        <v>0</v>
      </c>
      <c r="BC3" s="60">
        <f>ARBITRAMENTOS!G10</f>
        <v>0</v>
      </c>
      <c r="BD3" s="60" t="str">
        <f>+PAGOS!D9</f>
        <v>No</v>
      </c>
      <c r="BE3" s="60">
        <f>+PAGOS!D10</f>
        <v>0</v>
      </c>
      <c r="BF3" s="61">
        <f>USUARIOS!D9</f>
        <v>44624</v>
      </c>
      <c r="BG3" s="61">
        <f>ABOGADOS!D7</f>
        <v>44624</v>
      </c>
      <c r="BH3" s="61">
        <f>JUDICIALES!D8</f>
        <v>44624</v>
      </c>
      <c r="BI3" s="60" t="str">
        <f>+USUARIOS!C19</f>
        <v>A la fecha del reporte todos los usuarios se encontraron activos en el sistema. La Oficina Asesora Jurídica informó que a cada usuario de la OAJ le llegaron invitaciones al correo electrónico con el link para conectarse a las capacitaciones que programa la ANDJE, las cuales no son presenciales por el tema de la emergencia económica y social originada por el Covid -19. De igual manera, las capacitaciones recibidas por el Jefe de Control Interno se llevaron a cabo a través de la plataforma TEAMS.</v>
      </c>
      <c r="BJ3" s="60" t="str">
        <f>+ABOGADOS!C22</f>
        <v xml:space="preserve">Se evidenció que los abogados activos creados en EKOGUI tenían correo actualizado asi como la información de estudios , laboral  y de experiencia actualizada en el sistema. </v>
      </c>
      <c r="BK3" s="60" t="str">
        <f>+JUDICIALES!F28</f>
        <v xml:space="preserve">Según información de OAJ a 31 de diciembre de 2021 se tenían 9 procesos activos, acorde con lo registrado en el sistema y dos (2) procesos se terminaron durante al segundo semestre de 2021 (1161732-1227359) para un total de 12 procesos terminados a corte 31 de diciembre de 2021 en el sistema .Los procesos terminados durante el 2o. Sem de 2021 tienen registrada la ejecutoria de la sentencia con fallo favorable.  De los nueve (9) procesos activos en calidad de demandado a 30 de diciembre de 2021  no se registran casos con posiblidad de perder el caso ALTA; se evidenció que dentro de los procesos registrados con probabilidad de perder el caso MEDIA se encuentran tres (3) con provisión contable igual a cero (0) y REMOTA se encuentran dos (2) con provisión contable igual a cero (0).De los 9 procesos, 7 se encuentran sin calificación del riesgo durante el segundo semestre de 2021 y dos (2) registran como último estado de la actuación en contestación de la demanda. Por información de la OAJ se indicó que no se actualizó la calificación del riesgo porque el año ingresado como terminación del proceso aparece en 2021 y el año no puede ser inferior al calculado. </v>
      </c>
      <c r="BL3" s="60" t="str">
        <f>+PREJUDICIALES!F17</f>
        <v>Consultada la Oficina Asesora Jurídca se informó que no se registraron solicitudes de conciliaciones prejudiciales en el segundo semestre de 2021; Revisado el módulo de consultas y reportes - Reporte conciliaciones extrajudiciales en el sistema, se observan dos (2) conciliaciones activas extrajudiciales registradas  bajo el ID1401888 y el  ID978784, respectivamente;sin embargo, el módulo de gestión de casos reporta ACTIVA únicamente una (1) conciliación extrajudicial (ID 1401888).Revisado el módulo de consultas y reportes - Reporte conciliaciones extrajudiciales en el sistema, se observan dos (2) conciliaciones activas extrajudiciales registradas  bajo el ID1401888 y el  ID978784, respectivamente;sin embargo, el módulo de gestión de casos reporta ACTIVA únicamente una (1) conciliación extrajudicial (ID 1401888)</v>
      </c>
      <c r="BM3" s="60" t="str">
        <f>+ARBITRAMENTOS!C13</f>
        <v>Según información de la Oficina Asesora Jurídica no se registraron arbitramentos en 2021.</v>
      </c>
      <c r="BN3" s="60" t="str">
        <f>+PAGOS!F8</f>
        <v>El Coordinador del Grupo de Gestión Financiera informó que la Entidad no ha gestionado pagos sobre procesos judiciales, procesos arbitrales y conciliaciones extrajudiciales, en el SIIF de MinHacienda.</v>
      </c>
      <c r="BO3" s="60" t="str">
        <f>'Resumen General'!B23</f>
        <v xml:space="preserve">Con fundamento en las disposiciones establecidas en el Instructivo del Sistema Único de Gestión e Información litigiosa e-KOGUI, Perfil Jefe de Control Interno V 11.0 expedida por la Agencia Nacional de Defensa Jurídica del Estado se remite la Certificación del Jefe de Control Interno con los resultados para el periodo del 1 de julio a 31 de diciembre de 2021, reportada en la Plantilla de diligenciamiento dispuesta por la ANDJE – Sistema Único de Gestión e Información Litigiosa del Estado E kogui en su página web. </v>
      </c>
    </row>
    <row r="12" spans="1:67" x14ac:dyDescent="0.25">
      <c r="A12" s="60" t="s">
        <v>142</v>
      </c>
      <c r="B12" s="60" t="s">
        <v>10</v>
      </c>
      <c r="C12" s="63" t="s">
        <v>11</v>
      </c>
      <c r="D12" s="63" t="s">
        <v>12</v>
      </c>
      <c r="E12" s="63" t="s">
        <v>13</v>
      </c>
      <c r="F12" s="63" t="s">
        <v>14</v>
      </c>
      <c r="G12" s="63" t="s">
        <v>15</v>
      </c>
    </row>
    <row r="13" spans="1:67" x14ac:dyDescent="0.25">
      <c r="A13" s="60" t="str">
        <f t="shared" ref="A13:A18" si="0">$A$3</f>
        <v>ARCHIVO GENERAL DE LA NACIÓN</v>
      </c>
      <c r="B13" s="60" t="s">
        <v>16</v>
      </c>
      <c r="C13" s="60" t="str">
        <f>USUARIOS!C12</f>
        <v>Si</v>
      </c>
      <c r="D13" s="62">
        <f>USUARIOS!D12</f>
        <v>43720</v>
      </c>
      <c r="E13" s="60" t="str">
        <f>USUARIOS!E12</f>
        <v>ALIRIO ALONSO BAYONA FONSECA</v>
      </c>
      <c r="F13" s="62">
        <f>USUARIOS!F12</f>
        <v>43766</v>
      </c>
      <c r="G13" s="60" t="str">
        <f>USUARIOS!G12</f>
        <v/>
      </c>
    </row>
    <row r="14" spans="1:67" x14ac:dyDescent="0.25">
      <c r="A14" s="60" t="str">
        <f t="shared" si="0"/>
        <v>ARCHIVO GENERAL DE LA NACIÓN</v>
      </c>
      <c r="B14" s="60" t="s">
        <v>18</v>
      </c>
      <c r="C14" s="60" t="str">
        <f>USUARIOS!C13</f>
        <v>Si</v>
      </c>
      <c r="D14" s="62">
        <f>USUARIOS!D13</f>
        <v>43846</v>
      </c>
      <c r="E14" s="60" t="str">
        <f>USUARIOS!E13</f>
        <v>JORGE ALEJANDRO CARRASQUILLA ORTIZ</v>
      </c>
      <c r="F14" s="62">
        <f>USUARIOS!F13</f>
        <v>44448</v>
      </c>
      <c r="G14" s="60" t="str">
        <f>USUARIOS!G13</f>
        <v/>
      </c>
    </row>
    <row r="15" spans="1:67" x14ac:dyDescent="0.25">
      <c r="A15" s="60" t="str">
        <f t="shared" si="0"/>
        <v>ARCHIVO GENERAL DE LA NACIÓN</v>
      </c>
      <c r="B15" s="60" t="s">
        <v>20</v>
      </c>
      <c r="C15" s="60" t="str">
        <f>USUARIOS!C14</f>
        <v>Si</v>
      </c>
      <c r="D15" s="62">
        <f>USUARIOS!D14</f>
        <v>43720</v>
      </c>
      <c r="E15" s="60" t="str">
        <f>USUARIOS!E14</f>
        <v>ARISNELLY CUESTA MEDINA</v>
      </c>
      <c r="F15" s="62">
        <f>USUARIOS!F14</f>
        <v>43766</v>
      </c>
      <c r="G15" s="60" t="str">
        <f>USUARIOS!G14</f>
        <v/>
      </c>
    </row>
    <row r="16" spans="1:67" x14ac:dyDescent="0.25">
      <c r="A16" s="60" t="str">
        <f t="shared" si="0"/>
        <v>ARCHIVO GENERAL DE LA NACIÓN</v>
      </c>
      <c r="B16" s="60" t="s">
        <v>22</v>
      </c>
      <c r="C16" s="60" t="str">
        <f>USUARIOS!C15</f>
        <v>Si</v>
      </c>
      <c r="D16" s="62">
        <f>USUARIOS!D15</f>
        <v>43753</v>
      </c>
      <c r="E16" s="60" t="str">
        <f>USUARIOS!E15</f>
        <v>JUAN MANUEL MANRIQUE RAMÍREZ</v>
      </c>
      <c r="F16" s="62">
        <f>USUARIOS!F15</f>
        <v>44390</v>
      </c>
      <c r="G16" s="60" t="str">
        <f>USUARIOS!G15</f>
        <v/>
      </c>
    </row>
    <row r="17" spans="1:7" x14ac:dyDescent="0.25">
      <c r="A17" s="60" t="str">
        <f t="shared" si="0"/>
        <v>ARCHIVO GENERAL DE LA NACIÓN</v>
      </c>
      <c r="B17" s="60" t="s">
        <v>24</v>
      </c>
      <c r="C17" s="60" t="str">
        <f>USUARIOS!C16</f>
        <v>Si</v>
      </c>
      <c r="D17" s="62">
        <f>USUARIOS!D16</f>
        <v>43846</v>
      </c>
      <c r="E17" s="60" t="str">
        <f>USUARIOS!E16</f>
        <v>JORGE ALEJANDRO CARRASQUILLA ORTIZ</v>
      </c>
      <c r="F17" s="62">
        <f>USUARIOS!F16</f>
        <v>44448</v>
      </c>
      <c r="G17" s="60" t="str">
        <f>USUARIOS!G16</f>
        <v/>
      </c>
    </row>
    <row r="18" spans="1:7" x14ac:dyDescent="0.25">
      <c r="A18" s="60" t="str">
        <f t="shared" si="0"/>
        <v>ARCHIVO GENERAL DE LA NACIÓN</v>
      </c>
      <c r="B18" s="60" t="s">
        <v>25</v>
      </c>
      <c r="C18" s="60" t="str">
        <f>USUARIOS!C17</f>
        <v>Si</v>
      </c>
      <c r="D18" s="62">
        <f>USUARIOS!D17</f>
        <v>42067</v>
      </c>
      <c r="E18" s="60" t="str">
        <f>USUARIOS!E17</f>
        <v>ROSSANNA MILENA PINEDO PONCE</v>
      </c>
      <c r="F18" s="62">
        <f>USUARIOS!F17</f>
        <v>44448</v>
      </c>
      <c r="G18" s="60"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Garzón Peraza</dc:creator>
  <cp:keywords/>
  <dc:description/>
  <cp:lastModifiedBy>Juan Manuel Manrique Ramirez</cp:lastModifiedBy>
  <cp:revision/>
  <dcterms:created xsi:type="dcterms:W3CDTF">2020-06-25T21:16:25Z</dcterms:created>
  <dcterms:modified xsi:type="dcterms:W3CDTF">2022-03-17T21:49:20Z</dcterms:modified>
  <cp:category/>
  <cp:contentStatus/>
</cp:coreProperties>
</file>